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Owner\Documents\Reed Accounting Files\2014 Client Forms\"/>
    </mc:Choice>
  </mc:AlternateContent>
  <bookViews>
    <workbookView xWindow="0" yWindow="0" windowWidth="20175" windowHeight="7620" activeTab="1"/>
  </bookViews>
  <sheets>
    <sheet name="Copy1" sheetId="4" r:id="rId1"/>
    <sheet name="Copy2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D220" i="4" l="1"/>
  <c r="A220" i="4"/>
  <c r="A219" i="4"/>
  <c r="A218" i="4"/>
  <c r="A217" i="4"/>
  <c r="A216" i="4"/>
  <c r="A215" i="4"/>
  <c r="A214" i="4"/>
  <c r="A213" i="4"/>
  <c r="A212" i="4"/>
  <c r="A211" i="4"/>
  <c r="B210" i="4"/>
  <c r="A210" i="4"/>
  <c r="I208" i="4"/>
  <c r="I207" i="4"/>
  <c r="I206" i="4"/>
  <c r="I205" i="4"/>
  <c r="I204" i="4"/>
  <c r="I203" i="4"/>
  <c r="I202" i="4"/>
  <c r="I201" i="4"/>
  <c r="I200" i="4"/>
  <c r="B219" i="4" s="1"/>
  <c r="H199" i="4"/>
  <c r="A199" i="4"/>
  <c r="H197" i="4"/>
  <c r="D197" i="4"/>
  <c r="A197" i="4"/>
  <c r="H196" i="4"/>
  <c r="F196" i="4"/>
  <c r="I196" i="4" s="1"/>
  <c r="D196" i="4"/>
  <c r="A196" i="4"/>
  <c r="H195" i="4"/>
  <c r="D195" i="4"/>
  <c r="A195" i="4"/>
  <c r="I194" i="4"/>
  <c r="H194" i="4"/>
  <c r="F194" i="4"/>
  <c r="D194" i="4"/>
  <c r="A194" i="4"/>
  <c r="H193" i="4"/>
  <c r="D193" i="4"/>
  <c r="F193" i="4" s="1"/>
  <c r="A193" i="4"/>
  <c r="H192" i="4"/>
  <c r="F192" i="4"/>
  <c r="I192" i="4" s="1"/>
  <c r="D192" i="4"/>
  <c r="A192" i="4"/>
  <c r="H191" i="4"/>
  <c r="D191" i="4"/>
  <c r="A191" i="4"/>
  <c r="I190" i="4"/>
  <c r="H190" i="4"/>
  <c r="F190" i="4"/>
  <c r="D190" i="4"/>
  <c r="A190" i="4"/>
  <c r="H189" i="4"/>
  <c r="D189" i="4"/>
  <c r="A189" i="4"/>
  <c r="H188" i="4"/>
  <c r="F188" i="4"/>
  <c r="I188" i="4" s="1"/>
  <c r="D188" i="4"/>
  <c r="A188" i="4"/>
  <c r="H187" i="4"/>
  <c r="D187" i="4"/>
  <c r="A187" i="4"/>
  <c r="I186" i="4"/>
  <c r="H186" i="4"/>
  <c r="F186" i="4"/>
  <c r="D186" i="4"/>
  <c r="A186" i="4"/>
  <c r="H185" i="4"/>
  <c r="D185" i="4"/>
  <c r="F185" i="4" s="1"/>
  <c r="A185" i="4"/>
  <c r="H184" i="4"/>
  <c r="F184" i="4"/>
  <c r="I184" i="4" s="1"/>
  <c r="D184" i="4"/>
  <c r="A184" i="4"/>
  <c r="H183" i="4"/>
  <c r="F183" i="4" s="1"/>
  <c r="I183" i="4" s="1"/>
  <c r="D183" i="4"/>
  <c r="A183" i="4"/>
  <c r="I182" i="4"/>
  <c r="H182" i="4"/>
  <c r="F182" i="4"/>
  <c r="D182" i="4"/>
  <c r="A182" i="4"/>
  <c r="H181" i="4"/>
  <c r="D181" i="4"/>
  <c r="A181" i="4"/>
  <c r="H180" i="4"/>
  <c r="F180" i="4"/>
  <c r="D180" i="4"/>
  <c r="I180" i="4" s="1"/>
  <c r="A180" i="4"/>
  <c r="H179" i="4"/>
  <c r="D179" i="4"/>
  <c r="A179" i="4"/>
  <c r="H178" i="4"/>
  <c r="F178" i="4" s="1"/>
  <c r="I178" i="4" s="1"/>
  <c r="D178" i="4"/>
  <c r="A178" i="4"/>
  <c r="H177" i="4"/>
  <c r="D177" i="4"/>
  <c r="F177" i="4" s="1"/>
  <c r="A177" i="4"/>
  <c r="H176" i="4"/>
  <c r="F176" i="4"/>
  <c r="I176" i="4" s="1"/>
  <c r="D176" i="4"/>
  <c r="A176" i="4"/>
  <c r="H175" i="4"/>
  <c r="F175" i="4" s="1"/>
  <c r="I175" i="4" s="1"/>
  <c r="D175" i="4"/>
  <c r="A175" i="4"/>
  <c r="I174" i="4"/>
  <c r="H174" i="4"/>
  <c r="F174" i="4"/>
  <c r="D174" i="4"/>
  <c r="A174" i="4"/>
  <c r="H173" i="4"/>
  <c r="D173" i="4"/>
  <c r="A173" i="4"/>
  <c r="H172" i="4"/>
  <c r="F172" i="4"/>
  <c r="D172" i="4"/>
  <c r="I172" i="4" s="1"/>
  <c r="A172" i="4"/>
  <c r="H171" i="4"/>
  <c r="D171" i="4"/>
  <c r="A171" i="4"/>
  <c r="H170" i="4"/>
  <c r="F170" i="4" s="1"/>
  <c r="I170" i="4" s="1"/>
  <c r="D170" i="4"/>
  <c r="A170" i="4"/>
  <c r="H169" i="4"/>
  <c r="D169" i="4"/>
  <c r="I169" i="4" s="1"/>
  <c r="A169" i="4"/>
  <c r="H168" i="4"/>
  <c r="D168" i="4"/>
  <c r="A168" i="4"/>
  <c r="G167" i="4"/>
  <c r="A167" i="4"/>
  <c r="H165" i="4"/>
  <c r="F165" i="4" s="1"/>
  <c r="I165" i="4" s="1"/>
  <c r="D165" i="4"/>
  <c r="A165" i="4"/>
  <c r="I164" i="4"/>
  <c r="H164" i="4"/>
  <c r="F164" i="4"/>
  <c r="D164" i="4"/>
  <c r="A164" i="4"/>
  <c r="H163" i="4"/>
  <c r="D163" i="4"/>
  <c r="A163" i="4"/>
  <c r="H162" i="4"/>
  <c r="F162" i="4"/>
  <c r="I162" i="4" s="1"/>
  <c r="D162" i="4"/>
  <c r="A162" i="4"/>
  <c r="H161" i="4"/>
  <c r="D161" i="4"/>
  <c r="A161" i="4"/>
  <c r="H160" i="4"/>
  <c r="F160" i="4" s="1"/>
  <c r="I160" i="4" s="1"/>
  <c r="D160" i="4"/>
  <c r="A160" i="4"/>
  <c r="H159" i="4"/>
  <c r="D159" i="4"/>
  <c r="F159" i="4" s="1"/>
  <c r="A159" i="4"/>
  <c r="H158" i="4"/>
  <c r="F158" i="4"/>
  <c r="I158" i="4" s="1"/>
  <c r="D158" i="4"/>
  <c r="A158" i="4"/>
  <c r="H157" i="4"/>
  <c r="F157" i="4" s="1"/>
  <c r="I157" i="4" s="1"/>
  <c r="D157" i="4"/>
  <c r="A157" i="4"/>
  <c r="A156" i="4"/>
  <c r="H154" i="4"/>
  <c r="D154" i="4"/>
  <c r="F154" i="4" s="1"/>
  <c r="A154" i="4"/>
  <c r="H153" i="4"/>
  <c r="F153" i="4"/>
  <c r="I153" i="4" s="1"/>
  <c r="D153" i="4"/>
  <c r="A153" i="4"/>
  <c r="H152" i="4"/>
  <c r="F152" i="4" s="1"/>
  <c r="I152" i="4" s="1"/>
  <c r="D152" i="4"/>
  <c r="A152" i="4"/>
  <c r="I151" i="4"/>
  <c r="H151" i="4"/>
  <c r="F151" i="4"/>
  <c r="D151" i="4"/>
  <c r="A151" i="4"/>
  <c r="H150" i="4"/>
  <c r="D150" i="4"/>
  <c r="A150" i="4"/>
  <c r="H149" i="4"/>
  <c r="F149" i="4"/>
  <c r="I149" i="4" s="1"/>
  <c r="D149" i="4"/>
  <c r="A149" i="4"/>
  <c r="H148" i="4"/>
  <c r="I148" i="4" s="1"/>
  <c r="D148" i="4"/>
  <c r="A148" i="4"/>
  <c r="H147" i="4"/>
  <c r="F147" i="4" s="1"/>
  <c r="D147" i="4"/>
  <c r="I147" i="4" s="1"/>
  <c r="A147" i="4"/>
  <c r="I146" i="4"/>
  <c r="H146" i="4"/>
  <c r="F146" i="4"/>
  <c r="D146" i="4"/>
  <c r="A146" i="4"/>
  <c r="H145" i="4"/>
  <c r="D145" i="4"/>
  <c r="A145" i="4"/>
  <c r="H144" i="4"/>
  <c r="F144" i="4"/>
  <c r="I144" i="4" s="1"/>
  <c r="D144" i="4"/>
  <c r="A144" i="4"/>
  <c r="H143" i="4"/>
  <c r="D143" i="4"/>
  <c r="A143" i="4"/>
  <c r="H142" i="4"/>
  <c r="F142" i="4" s="1"/>
  <c r="I142" i="4" s="1"/>
  <c r="D142" i="4"/>
  <c r="A142" i="4"/>
  <c r="H141" i="4"/>
  <c r="D141" i="4"/>
  <c r="F141" i="4" s="1"/>
  <c r="A141" i="4"/>
  <c r="H140" i="4"/>
  <c r="F140" i="4"/>
  <c r="I140" i="4" s="1"/>
  <c r="D140" i="4"/>
  <c r="A140" i="4"/>
  <c r="H139" i="4"/>
  <c r="F139" i="4" s="1"/>
  <c r="D139" i="4"/>
  <c r="A139" i="4"/>
  <c r="I138" i="4"/>
  <c r="H138" i="4"/>
  <c r="F138" i="4"/>
  <c r="D138" i="4"/>
  <c r="A138" i="4"/>
  <c r="H137" i="4"/>
  <c r="D137" i="4"/>
  <c r="A137" i="4"/>
  <c r="H136" i="4"/>
  <c r="F136" i="4"/>
  <c r="I136" i="4" s="1"/>
  <c r="D136" i="4"/>
  <c r="A136" i="4"/>
  <c r="H135" i="4"/>
  <c r="D135" i="4"/>
  <c r="A135" i="4"/>
  <c r="H134" i="4"/>
  <c r="F134" i="4" s="1"/>
  <c r="I134" i="4" s="1"/>
  <c r="D134" i="4"/>
  <c r="A134" i="4"/>
  <c r="H133" i="4"/>
  <c r="D133" i="4"/>
  <c r="F133" i="4" s="1"/>
  <c r="A133" i="4"/>
  <c r="C132" i="4"/>
  <c r="A132" i="4"/>
  <c r="H130" i="4"/>
  <c r="D130" i="4"/>
  <c r="A130" i="4"/>
  <c r="H129" i="4"/>
  <c r="F129" i="4" s="1"/>
  <c r="I129" i="4" s="1"/>
  <c r="D129" i="4"/>
  <c r="A129" i="4"/>
  <c r="H128" i="4"/>
  <c r="D128" i="4"/>
  <c r="F128" i="4" s="1"/>
  <c r="A128" i="4"/>
  <c r="H127" i="4"/>
  <c r="F127" i="4"/>
  <c r="I127" i="4" s="1"/>
  <c r="D127" i="4"/>
  <c r="A127" i="4"/>
  <c r="H126" i="4"/>
  <c r="F126" i="4" s="1"/>
  <c r="D126" i="4"/>
  <c r="A126" i="4"/>
  <c r="I125" i="4"/>
  <c r="H125" i="4"/>
  <c r="F125" i="4"/>
  <c r="D125" i="4"/>
  <c r="A125" i="4"/>
  <c r="H124" i="4"/>
  <c r="D124" i="4"/>
  <c r="A124" i="4"/>
  <c r="H123" i="4"/>
  <c r="F123" i="4"/>
  <c r="I123" i="4" s="1"/>
  <c r="D123" i="4"/>
  <c r="A123" i="4"/>
  <c r="H122" i="4"/>
  <c r="D122" i="4"/>
  <c r="A122" i="4"/>
  <c r="H121" i="4"/>
  <c r="F121" i="4" s="1"/>
  <c r="I121" i="4" s="1"/>
  <c r="D121" i="4"/>
  <c r="A121" i="4"/>
  <c r="H120" i="4"/>
  <c r="D120" i="4"/>
  <c r="F120" i="4" s="1"/>
  <c r="A120" i="4"/>
  <c r="H119" i="4"/>
  <c r="F119" i="4"/>
  <c r="I119" i="4" s="1"/>
  <c r="D119" i="4"/>
  <c r="A119" i="4"/>
  <c r="H118" i="4"/>
  <c r="F118" i="4" s="1"/>
  <c r="D118" i="4"/>
  <c r="A118" i="4"/>
  <c r="I117" i="4"/>
  <c r="H117" i="4"/>
  <c r="F117" i="4"/>
  <c r="D117" i="4"/>
  <c r="A117" i="4"/>
  <c r="H116" i="4"/>
  <c r="D116" i="4"/>
  <c r="A116" i="4"/>
  <c r="H115" i="4"/>
  <c r="F115" i="4"/>
  <c r="I115" i="4" s="1"/>
  <c r="D115" i="4"/>
  <c r="A115" i="4"/>
  <c r="H114" i="4"/>
  <c r="D114" i="4"/>
  <c r="A114" i="4"/>
  <c r="H113" i="4"/>
  <c r="F113" i="4" s="1"/>
  <c r="I113" i="4" s="1"/>
  <c r="D113" i="4"/>
  <c r="A113" i="4"/>
  <c r="H112" i="4"/>
  <c r="D112" i="4"/>
  <c r="F112" i="4" s="1"/>
  <c r="A112" i="4"/>
  <c r="H111" i="4"/>
  <c r="F111" i="4"/>
  <c r="I111" i="4" s="1"/>
  <c r="D111" i="4"/>
  <c r="A111" i="4"/>
  <c r="H110" i="4"/>
  <c r="F110" i="4" s="1"/>
  <c r="D110" i="4"/>
  <c r="A110" i="4"/>
  <c r="I109" i="4"/>
  <c r="H109" i="4"/>
  <c r="F109" i="4"/>
  <c r="D109" i="4"/>
  <c r="A109" i="4"/>
  <c r="H108" i="4"/>
  <c r="D108" i="4"/>
  <c r="A108" i="4"/>
  <c r="H107" i="4"/>
  <c r="F107" i="4"/>
  <c r="I107" i="4" s="1"/>
  <c r="D107" i="4"/>
  <c r="A107" i="4"/>
  <c r="H106" i="4"/>
  <c r="D106" i="4"/>
  <c r="A106" i="4"/>
  <c r="H105" i="4"/>
  <c r="F105" i="4" s="1"/>
  <c r="I105" i="4" s="1"/>
  <c r="D105" i="4"/>
  <c r="A105" i="4"/>
  <c r="F104" i="4"/>
  <c r="A104" i="4"/>
  <c r="H102" i="4"/>
  <c r="F102" i="4"/>
  <c r="I102" i="4" s="1"/>
  <c r="D102" i="4"/>
  <c r="A102" i="4"/>
  <c r="H101" i="4"/>
  <c r="D101" i="4"/>
  <c r="A101" i="4"/>
  <c r="H100" i="4"/>
  <c r="F100" i="4" s="1"/>
  <c r="I100" i="4" s="1"/>
  <c r="D100" i="4"/>
  <c r="A100" i="4"/>
  <c r="H99" i="4"/>
  <c r="D99" i="4"/>
  <c r="F99" i="4" s="1"/>
  <c r="A99" i="4"/>
  <c r="H98" i="4"/>
  <c r="F98" i="4"/>
  <c r="I98" i="4" s="1"/>
  <c r="D98" i="4"/>
  <c r="A98" i="4"/>
  <c r="H97" i="4"/>
  <c r="F97" i="4" s="1"/>
  <c r="D97" i="4"/>
  <c r="A97" i="4"/>
  <c r="I96" i="4"/>
  <c r="H96" i="4"/>
  <c r="F96" i="4"/>
  <c r="D96" i="4"/>
  <c r="A96" i="4"/>
  <c r="H95" i="4"/>
  <c r="D95" i="4"/>
  <c r="A95" i="4"/>
  <c r="H94" i="4"/>
  <c r="F94" i="4"/>
  <c r="I94" i="4" s="1"/>
  <c r="D94" i="4"/>
  <c r="A94" i="4"/>
  <c r="H93" i="4"/>
  <c r="D93" i="4"/>
  <c r="A93" i="4"/>
  <c r="H92" i="4"/>
  <c r="F92" i="4" s="1"/>
  <c r="I92" i="4" s="1"/>
  <c r="D92" i="4"/>
  <c r="A92" i="4"/>
  <c r="H91" i="4"/>
  <c r="D91" i="4"/>
  <c r="F91" i="4" s="1"/>
  <c r="A91" i="4"/>
  <c r="H90" i="4"/>
  <c r="F90" i="4"/>
  <c r="I90" i="4" s="1"/>
  <c r="D90" i="4"/>
  <c r="A90" i="4"/>
  <c r="H89" i="4"/>
  <c r="F89" i="4" s="1"/>
  <c r="D89" i="4"/>
  <c r="A89" i="4"/>
  <c r="I88" i="4"/>
  <c r="H88" i="4"/>
  <c r="F88" i="4"/>
  <c r="D88" i="4"/>
  <c r="A88" i="4"/>
  <c r="H87" i="4"/>
  <c r="D87" i="4"/>
  <c r="A87" i="4"/>
  <c r="H86" i="4"/>
  <c r="F86" i="4"/>
  <c r="I86" i="4" s="1"/>
  <c r="D86" i="4"/>
  <c r="A86" i="4"/>
  <c r="H85" i="4"/>
  <c r="D85" i="4"/>
  <c r="A85" i="4"/>
  <c r="H84" i="4"/>
  <c r="F84" i="4" s="1"/>
  <c r="I84" i="4" s="1"/>
  <c r="D84" i="4"/>
  <c r="A84" i="4"/>
  <c r="H83" i="4"/>
  <c r="D83" i="4"/>
  <c r="F83" i="4" s="1"/>
  <c r="A83" i="4"/>
  <c r="H82" i="4"/>
  <c r="F82" i="4"/>
  <c r="I82" i="4" s="1"/>
  <c r="D82" i="4"/>
  <c r="A82" i="4"/>
  <c r="H81" i="4"/>
  <c r="F81" i="4" s="1"/>
  <c r="D81" i="4"/>
  <c r="I81" i="4" s="1"/>
  <c r="A81" i="4"/>
  <c r="A80" i="4"/>
  <c r="H78" i="4"/>
  <c r="D78" i="4"/>
  <c r="F78" i="4" s="1"/>
  <c r="A78" i="4"/>
  <c r="H77" i="4"/>
  <c r="F77" i="4"/>
  <c r="I77" i="4" s="1"/>
  <c r="D77" i="4"/>
  <c r="A77" i="4"/>
  <c r="H76" i="4"/>
  <c r="F76" i="4" s="1"/>
  <c r="D76" i="4"/>
  <c r="I76" i="4" s="1"/>
  <c r="A76" i="4"/>
  <c r="I75" i="4"/>
  <c r="H75" i="4"/>
  <c r="F75" i="4"/>
  <c r="D75" i="4"/>
  <c r="A75" i="4"/>
  <c r="H74" i="4"/>
  <c r="D74" i="4"/>
  <c r="A74" i="4"/>
  <c r="H73" i="4"/>
  <c r="F73" i="4"/>
  <c r="I73" i="4" s="1"/>
  <c r="D73" i="4"/>
  <c r="A73" i="4"/>
  <c r="H72" i="4"/>
  <c r="D72" i="4"/>
  <c r="A72" i="4"/>
  <c r="H71" i="4"/>
  <c r="F71" i="4" s="1"/>
  <c r="I71" i="4" s="1"/>
  <c r="D71" i="4"/>
  <c r="A71" i="4"/>
  <c r="H70" i="4"/>
  <c r="D70" i="4"/>
  <c r="F70" i="4" s="1"/>
  <c r="A70" i="4"/>
  <c r="H69" i="4"/>
  <c r="F69" i="4"/>
  <c r="D69" i="4"/>
  <c r="I69" i="4" s="1"/>
  <c r="A69" i="4"/>
  <c r="H68" i="4"/>
  <c r="F68" i="4" s="1"/>
  <c r="D68" i="4"/>
  <c r="I68" i="4" s="1"/>
  <c r="A68" i="4"/>
  <c r="I67" i="4"/>
  <c r="H67" i="4"/>
  <c r="F67" i="4"/>
  <c r="D67" i="4"/>
  <c r="A67" i="4"/>
  <c r="H66" i="4"/>
  <c r="D66" i="4"/>
  <c r="A66" i="4"/>
  <c r="H65" i="4"/>
  <c r="F65" i="4"/>
  <c r="I65" i="4" s="1"/>
  <c r="D65" i="4"/>
  <c r="A65" i="4"/>
  <c r="H64" i="4"/>
  <c r="D64" i="4"/>
  <c r="A64" i="4"/>
  <c r="I63" i="4"/>
  <c r="H63" i="4"/>
  <c r="F63" i="4"/>
  <c r="D63" i="4"/>
  <c r="A63" i="4"/>
  <c r="H62" i="4"/>
  <c r="D62" i="4"/>
  <c r="F62" i="4" s="1"/>
  <c r="A62" i="4"/>
  <c r="H61" i="4"/>
  <c r="F61" i="4"/>
  <c r="I61" i="4" s="1"/>
  <c r="D61" i="4"/>
  <c r="A61" i="4"/>
  <c r="H60" i="4"/>
  <c r="D60" i="4"/>
  <c r="A60" i="4"/>
  <c r="I59" i="4"/>
  <c r="H59" i="4"/>
  <c r="F59" i="4"/>
  <c r="D59" i="4"/>
  <c r="A59" i="4"/>
  <c r="H58" i="4"/>
  <c r="D58" i="4"/>
  <c r="A58" i="4"/>
  <c r="H57" i="4"/>
  <c r="F57" i="4"/>
  <c r="I57" i="4" s="1"/>
  <c r="D57" i="4"/>
  <c r="A57" i="4"/>
  <c r="H56" i="4"/>
  <c r="D56" i="4"/>
  <c r="F56" i="4" s="1"/>
  <c r="I56" i="4" s="1"/>
  <c r="A56" i="4"/>
  <c r="H55" i="4"/>
  <c r="D55" i="4"/>
  <c r="F55" i="4" s="1"/>
  <c r="I55" i="4" s="1"/>
  <c r="A55" i="4"/>
  <c r="H54" i="4"/>
  <c r="D54" i="4"/>
  <c r="F54" i="4" s="1"/>
  <c r="A54" i="4"/>
  <c r="H53" i="4"/>
  <c r="F53" i="4"/>
  <c r="D53" i="4"/>
  <c r="I53" i="4" s="1"/>
  <c r="A53" i="4"/>
  <c r="H52" i="4"/>
  <c r="F52" i="4" s="1"/>
  <c r="D52" i="4"/>
  <c r="A52" i="4"/>
  <c r="I51" i="4"/>
  <c r="H51" i="4"/>
  <c r="F51" i="4"/>
  <c r="D51" i="4"/>
  <c r="A51" i="4"/>
  <c r="H50" i="4"/>
  <c r="D50" i="4"/>
  <c r="A50" i="4"/>
  <c r="H49" i="4"/>
  <c r="F49" i="4"/>
  <c r="I49" i="4" s="1"/>
  <c r="D49" i="4"/>
  <c r="A49" i="4"/>
  <c r="H48" i="4"/>
  <c r="D48" i="4"/>
  <c r="F48" i="4" s="1"/>
  <c r="I48" i="4" s="1"/>
  <c r="A48" i="4"/>
  <c r="I47" i="4"/>
  <c r="F47" i="4"/>
  <c r="A47" i="4"/>
  <c r="H44" i="4"/>
  <c r="D44" i="4"/>
  <c r="A44" i="4"/>
  <c r="H43" i="4"/>
  <c r="F43" i="4"/>
  <c r="I43" i="4" s="1"/>
  <c r="D43" i="4"/>
  <c r="A43" i="4"/>
  <c r="H42" i="4"/>
  <c r="D42" i="4"/>
  <c r="F42" i="4" s="1"/>
  <c r="I42" i="4" s="1"/>
  <c r="A42" i="4"/>
  <c r="H41" i="4"/>
  <c r="D41" i="4"/>
  <c r="F41" i="4" s="1"/>
  <c r="I41" i="4" s="1"/>
  <c r="A41" i="4"/>
  <c r="H40" i="4"/>
  <c r="F40" i="4" s="1"/>
  <c r="I40" i="4" s="1"/>
  <c r="A40" i="4"/>
  <c r="H39" i="4"/>
  <c r="D39" i="4"/>
  <c r="A39" i="4"/>
  <c r="H38" i="4"/>
  <c r="F38" i="4"/>
  <c r="I38" i="4" s="1"/>
  <c r="D38" i="4"/>
  <c r="A38" i="4"/>
  <c r="H37" i="4"/>
  <c r="D37" i="4"/>
  <c r="F37" i="4" s="1"/>
  <c r="I37" i="4" s="1"/>
  <c r="A37" i="4"/>
  <c r="H36" i="4"/>
  <c r="D36" i="4"/>
  <c r="F36" i="4" s="1"/>
  <c r="I36" i="4" s="1"/>
  <c r="A36" i="4"/>
  <c r="H35" i="4"/>
  <c r="D35" i="4"/>
  <c r="F35" i="4" s="1"/>
  <c r="A35" i="4"/>
  <c r="H34" i="4"/>
  <c r="F34" i="4"/>
  <c r="I34" i="4" s="1"/>
  <c r="D34" i="4"/>
  <c r="A34" i="4"/>
  <c r="H33" i="4"/>
  <c r="D33" i="4"/>
  <c r="A33" i="4"/>
  <c r="I32" i="4"/>
  <c r="H32" i="4"/>
  <c r="F32" i="4"/>
  <c r="D32" i="4"/>
  <c r="A32" i="4"/>
  <c r="H31" i="4"/>
  <c r="D31" i="4"/>
  <c r="A31" i="4"/>
  <c r="H30" i="4"/>
  <c r="F30" i="4"/>
  <c r="I30" i="4" s="1"/>
  <c r="D30" i="4"/>
  <c r="A30" i="4"/>
  <c r="H29" i="4"/>
  <c r="D29" i="4"/>
  <c r="F29" i="4" s="1"/>
  <c r="I29" i="4" s="1"/>
  <c r="A29" i="4"/>
  <c r="H28" i="4"/>
  <c r="D28" i="4"/>
  <c r="F28" i="4" s="1"/>
  <c r="I28" i="4" s="1"/>
  <c r="A28" i="4"/>
  <c r="H27" i="4"/>
  <c r="D27" i="4"/>
  <c r="F27" i="4" s="1"/>
  <c r="A27" i="4"/>
  <c r="H26" i="4"/>
  <c r="F26" i="4"/>
  <c r="D26" i="4"/>
  <c r="I26" i="4" s="1"/>
  <c r="A26" i="4"/>
  <c r="H25" i="4"/>
  <c r="D25" i="4"/>
  <c r="A25" i="4"/>
  <c r="I24" i="4"/>
  <c r="H24" i="4"/>
  <c r="F24" i="4"/>
  <c r="D24" i="4"/>
  <c r="A24" i="4"/>
  <c r="D23" i="4"/>
  <c r="A23" i="4"/>
  <c r="H22" i="4"/>
  <c r="D22" i="4"/>
  <c r="F22" i="4" s="1"/>
  <c r="A22" i="4"/>
  <c r="H21" i="4"/>
  <c r="F21" i="4"/>
  <c r="D21" i="4"/>
  <c r="I21" i="4" s="1"/>
  <c r="A21" i="4"/>
  <c r="H20" i="4"/>
  <c r="D20" i="4"/>
  <c r="A20" i="4"/>
  <c r="A19" i="4"/>
  <c r="H17" i="4"/>
  <c r="D17" i="4"/>
  <c r="F17" i="4" s="1"/>
  <c r="A17" i="4"/>
  <c r="H16" i="4"/>
  <c r="F16" i="4"/>
  <c r="D16" i="4"/>
  <c r="I16" i="4" s="1"/>
  <c r="A16" i="4"/>
  <c r="H15" i="4"/>
  <c r="D15" i="4"/>
  <c r="A15" i="4"/>
  <c r="I14" i="4"/>
  <c r="H14" i="4"/>
  <c r="F14" i="4"/>
  <c r="D14" i="4"/>
  <c r="A14" i="4"/>
  <c r="H13" i="4"/>
  <c r="D13" i="4"/>
  <c r="A13" i="4"/>
  <c r="H12" i="4"/>
  <c r="F12" i="4"/>
  <c r="I12" i="4" s="1"/>
  <c r="D12" i="4"/>
  <c r="A12" i="4"/>
  <c r="H11" i="4"/>
  <c r="D11" i="4"/>
  <c r="F11" i="4" s="1"/>
  <c r="I11" i="4" s="1"/>
  <c r="A11" i="4"/>
  <c r="H10" i="4"/>
  <c r="D10" i="4"/>
  <c r="F10" i="4" s="1"/>
  <c r="I10" i="4" s="1"/>
  <c r="A10" i="4"/>
  <c r="H9" i="4"/>
  <c r="D9" i="4"/>
  <c r="F9" i="4" s="1"/>
  <c r="A9" i="4"/>
  <c r="H8" i="4"/>
  <c r="F8" i="4"/>
  <c r="I8" i="4" s="1"/>
  <c r="D8" i="4"/>
  <c r="A8" i="4"/>
  <c r="H7" i="4"/>
  <c r="D7" i="4"/>
  <c r="A7" i="4"/>
  <c r="I6" i="4"/>
  <c r="I167" i="4" s="1"/>
  <c r="H6" i="4"/>
  <c r="H104" i="4" s="1"/>
  <c r="G6" i="4"/>
  <c r="G156" i="4" s="1"/>
  <c r="F6" i="4"/>
  <c r="F156" i="4" s="1"/>
  <c r="E6" i="4"/>
  <c r="E132" i="4" s="1"/>
  <c r="D6" i="4"/>
  <c r="D132" i="4" s="1"/>
  <c r="C6" i="4"/>
  <c r="C47" i="4" s="1"/>
  <c r="B6" i="4"/>
  <c r="B47" i="4" s="1"/>
  <c r="A6" i="4"/>
  <c r="A4" i="4"/>
  <c r="G3" i="4"/>
  <c r="A3" i="4"/>
  <c r="G2" i="4"/>
  <c r="A2" i="4"/>
  <c r="A1" i="4"/>
  <c r="I66" i="4" l="1"/>
  <c r="I25" i="4"/>
  <c r="I191" i="4"/>
  <c r="I106" i="4"/>
  <c r="I89" i="4"/>
  <c r="I118" i="4"/>
  <c r="I74" i="4"/>
  <c r="I161" i="4"/>
  <c r="I31" i="4"/>
  <c r="I33" i="4"/>
  <c r="I52" i="4"/>
  <c r="I139" i="4"/>
  <c r="I97" i="4"/>
  <c r="I110" i="4"/>
  <c r="I126" i="4"/>
  <c r="I168" i="4"/>
  <c r="I173" i="4"/>
  <c r="I195" i="4"/>
  <c r="E19" i="4"/>
  <c r="I9" i="4"/>
  <c r="I17" i="4"/>
  <c r="H19" i="4"/>
  <c r="I22" i="4"/>
  <c r="I27" i="4"/>
  <c r="I35" i="4"/>
  <c r="D47" i="4"/>
  <c r="I54" i="4"/>
  <c r="I62" i="4"/>
  <c r="F64" i="4"/>
  <c r="I64" i="4" s="1"/>
  <c r="I70" i="4"/>
  <c r="F72" i="4"/>
  <c r="I72" i="4" s="1"/>
  <c r="I78" i="4"/>
  <c r="H80" i="4"/>
  <c r="I83" i="4"/>
  <c r="F85" i="4"/>
  <c r="I85" i="4" s="1"/>
  <c r="I91" i="4"/>
  <c r="F93" i="4"/>
  <c r="I93" i="4" s="1"/>
  <c r="I99" i="4"/>
  <c r="F101" i="4"/>
  <c r="I101" i="4" s="1"/>
  <c r="I104" i="4"/>
  <c r="F106" i="4"/>
  <c r="I112" i="4"/>
  <c r="F114" i="4"/>
  <c r="I114" i="4" s="1"/>
  <c r="I120" i="4"/>
  <c r="F122" i="4"/>
  <c r="I122" i="4" s="1"/>
  <c r="I128" i="4"/>
  <c r="F130" i="4"/>
  <c r="I130" i="4" s="1"/>
  <c r="F132" i="4"/>
  <c r="I133" i="4"/>
  <c r="F135" i="4"/>
  <c r="I135" i="4" s="1"/>
  <c r="I141" i="4"/>
  <c r="F143" i="4"/>
  <c r="I143" i="4" s="1"/>
  <c r="I154" i="4"/>
  <c r="H156" i="4"/>
  <c r="I159" i="4"/>
  <c r="B217" i="4" s="1"/>
  <c r="F161" i="4"/>
  <c r="B167" i="4"/>
  <c r="F171" i="4"/>
  <c r="I171" i="4" s="1"/>
  <c r="I177" i="4"/>
  <c r="F179" i="4"/>
  <c r="I179" i="4" s="1"/>
  <c r="I185" i="4"/>
  <c r="F187" i="4"/>
  <c r="I187" i="4" s="1"/>
  <c r="I193" i="4"/>
  <c r="F195" i="4"/>
  <c r="E47" i="4"/>
  <c r="I80" i="4"/>
  <c r="B104" i="4"/>
  <c r="G132" i="4"/>
  <c r="I156" i="4"/>
  <c r="C167" i="4"/>
  <c r="F58" i="4"/>
  <c r="I58" i="4" s="1"/>
  <c r="F66" i="4"/>
  <c r="F74" i="4"/>
  <c r="B80" i="4"/>
  <c r="F87" i="4"/>
  <c r="I87" i="4" s="1"/>
  <c r="F95" i="4"/>
  <c r="I95" i="4" s="1"/>
  <c r="C104" i="4"/>
  <c r="F108" i="4"/>
  <c r="I108" i="4" s="1"/>
  <c r="F116" i="4"/>
  <c r="I116" i="4" s="1"/>
  <c r="F124" i="4"/>
  <c r="I124" i="4" s="1"/>
  <c r="H132" i="4"/>
  <c r="F137" i="4"/>
  <c r="I137" i="4" s="1"/>
  <c r="F145" i="4"/>
  <c r="I145" i="4" s="1"/>
  <c r="F150" i="4"/>
  <c r="I150" i="4" s="1"/>
  <c r="B156" i="4"/>
  <c r="F163" i="4"/>
  <c r="I163" i="4" s="1"/>
  <c r="D167" i="4"/>
  <c r="F168" i="4"/>
  <c r="F173" i="4"/>
  <c r="F181" i="4"/>
  <c r="I181" i="4" s="1"/>
  <c r="F189" i="4"/>
  <c r="I189" i="4" s="1"/>
  <c r="F197" i="4"/>
  <c r="I197" i="4" s="1"/>
  <c r="F44" i="4"/>
  <c r="I44" i="4" s="1"/>
  <c r="C19" i="4"/>
  <c r="F23" i="4"/>
  <c r="I23" i="4" s="1"/>
  <c r="G47" i="4"/>
  <c r="C80" i="4"/>
  <c r="D104" i="4"/>
  <c r="I132" i="4"/>
  <c r="C156" i="4"/>
  <c r="E167" i="4"/>
  <c r="I19" i="4"/>
  <c r="F13" i="4"/>
  <c r="I13" i="4" s="1"/>
  <c r="B19" i="4"/>
  <c r="F31" i="4"/>
  <c r="F39" i="4"/>
  <c r="I39" i="4" s="1"/>
  <c r="F50" i="4"/>
  <c r="I50" i="4" s="1"/>
  <c r="B213" i="4" s="1"/>
  <c r="F7" i="4"/>
  <c r="I7" i="4" s="1"/>
  <c r="F15" i="4"/>
  <c r="I15" i="4" s="1"/>
  <c r="D19" i="4"/>
  <c r="F20" i="4"/>
  <c r="I20" i="4" s="1"/>
  <c r="B212" i="4" s="1"/>
  <c r="F25" i="4"/>
  <c r="F33" i="4"/>
  <c r="H47" i="4"/>
  <c r="F60" i="4"/>
  <c r="I60" i="4" s="1"/>
  <c r="D80" i="4"/>
  <c r="E104" i="4"/>
  <c r="B132" i="4"/>
  <c r="D156" i="4"/>
  <c r="F167" i="4"/>
  <c r="F191" i="4"/>
  <c r="E80" i="4"/>
  <c r="E156" i="4"/>
  <c r="F19" i="4"/>
  <c r="F80" i="4"/>
  <c r="G104" i="4"/>
  <c r="H167" i="4"/>
  <c r="G199" i="4"/>
  <c r="G19" i="4"/>
  <c r="G80" i="4"/>
  <c r="A1" i="1"/>
  <c r="D220" i="1"/>
  <c r="A220" i="1"/>
  <c r="A219" i="1"/>
  <c r="A218" i="1"/>
  <c r="A217" i="1"/>
  <c r="A216" i="1"/>
  <c r="A215" i="1"/>
  <c r="A214" i="1"/>
  <c r="A213" i="1"/>
  <c r="A212" i="1"/>
  <c r="A211" i="1"/>
  <c r="B210" i="1"/>
  <c r="A210" i="1"/>
  <c r="I208" i="1"/>
  <c r="I207" i="1"/>
  <c r="I206" i="1"/>
  <c r="I205" i="1"/>
  <c r="I204" i="1"/>
  <c r="I203" i="1"/>
  <c r="I202" i="1"/>
  <c r="I201" i="1"/>
  <c r="I200" i="1"/>
  <c r="B219" i="1" s="1"/>
  <c r="H199" i="1"/>
  <c r="A199" i="1"/>
  <c r="H197" i="1"/>
  <c r="F197" i="1"/>
  <c r="D197" i="1"/>
  <c r="I197" i="1" s="1"/>
  <c r="A197" i="1"/>
  <c r="H196" i="1"/>
  <c r="F196" i="1"/>
  <c r="I196" i="1" s="1"/>
  <c r="D196" i="1"/>
  <c r="A196" i="1"/>
  <c r="H195" i="1"/>
  <c r="D195" i="1"/>
  <c r="F195" i="1" s="1"/>
  <c r="I195" i="1" s="1"/>
  <c r="A195" i="1"/>
  <c r="H194" i="1"/>
  <c r="D194" i="1"/>
  <c r="A194" i="1"/>
  <c r="H193" i="1"/>
  <c r="D193" i="1"/>
  <c r="F193" i="1" s="1"/>
  <c r="A193" i="1"/>
  <c r="H192" i="1"/>
  <c r="F192" i="1" s="1"/>
  <c r="I192" i="1" s="1"/>
  <c r="D192" i="1"/>
  <c r="A192" i="1"/>
  <c r="H191" i="1"/>
  <c r="D191" i="1"/>
  <c r="A191" i="1"/>
  <c r="H190" i="1"/>
  <c r="F190" i="1"/>
  <c r="I190" i="1" s="1"/>
  <c r="D190" i="1"/>
  <c r="A190" i="1"/>
  <c r="H189" i="1"/>
  <c r="F189" i="1"/>
  <c r="D189" i="1"/>
  <c r="I189" i="1" s="1"/>
  <c r="A189" i="1"/>
  <c r="I188" i="1"/>
  <c r="H188" i="1"/>
  <c r="F188" i="1"/>
  <c r="D188" i="1"/>
  <c r="A188" i="1"/>
  <c r="H187" i="1"/>
  <c r="D187" i="1"/>
  <c r="A187" i="1"/>
  <c r="H186" i="1"/>
  <c r="D186" i="1"/>
  <c r="A186" i="1"/>
  <c r="H185" i="1"/>
  <c r="D185" i="1"/>
  <c r="F185" i="1" s="1"/>
  <c r="A185" i="1"/>
  <c r="H184" i="1"/>
  <c r="F184" i="1" s="1"/>
  <c r="I184" i="1" s="1"/>
  <c r="D184" i="1"/>
  <c r="A184" i="1"/>
  <c r="H183" i="1"/>
  <c r="D183" i="1"/>
  <c r="A183" i="1"/>
  <c r="H182" i="1"/>
  <c r="F182" i="1"/>
  <c r="I182" i="1" s="1"/>
  <c r="D182" i="1"/>
  <c r="A182" i="1"/>
  <c r="H181" i="1"/>
  <c r="F181" i="1"/>
  <c r="D181" i="1"/>
  <c r="I181" i="1" s="1"/>
  <c r="A181" i="1"/>
  <c r="I180" i="1"/>
  <c r="H180" i="1"/>
  <c r="F180" i="1"/>
  <c r="D180" i="1"/>
  <c r="A180" i="1"/>
  <c r="H179" i="1"/>
  <c r="D179" i="1"/>
  <c r="A179" i="1"/>
  <c r="H178" i="1"/>
  <c r="D178" i="1"/>
  <c r="A178" i="1"/>
  <c r="H177" i="1"/>
  <c r="D177" i="1"/>
  <c r="F177" i="1" s="1"/>
  <c r="A177" i="1"/>
  <c r="H176" i="1"/>
  <c r="F176" i="1" s="1"/>
  <c r="I176" i="1" s="1"/>
  <c r="D176" i="1"/>
  <c r="A176" i="1"/>
  <c r="H175" i="1"/>
  <c r="D175" i="1"/>
  <c r="A175" i="1"/>
  <c r="H174" i="1"/>
  <c r="F174" i="1"/>
  <c r="I174" i="1" s="1"/>
  <c r="D174" i="1"/>
  <c r="A174" i="1"/>
  <c r="H173" i="1"/>
  <c r="F173" i="1"/>
  <c r="D173" i="1"/>
  <c r="I173" i="1" s="1"/>
  <c r="A173" i="1"/>
  <c r="I172" i="1"/>
  <c r="H172" i="1"/>
  <c r="F172" i="1"/>
  <c r="D172" i="1"/>
  <c r="A172" i="1"/>
  <c r="H171" i="1"/>
  <c r="D171" i="1"/>
  <c r="A171" i="1"/>
  <c r="H170" i="1"/>
  <c r="D170" i="1"/>
  <c r="A170" i="1"/>
  <c r="H169" i="1"/>
  <c r="D169" i="1"/>
  <c r="I169" i="1" s="1"/>
  <c r="A169" i="1"/>
  <c r="H168" i="1"/>
  <c r="F168" i="1"/>
  <c r="D168" i="1"/>
  <c r="I168" i="1" s="1"/>
  <c r="A168" i="1"/>
  <c r="I167" i="1"/>
  <c r="A167" i="1"/>
  <c r="H165" i="1"/>
  <c r="D165" i="1"/>
  <c r="A165" i="1"/>
  <c r="H164" i="1"/>
  <c r="F164" i="1"/>
  <c r="I164" i="1" s="1"/>
  <c r="D164" i="1"/>
  <c r="A164" i="1"/>
  <c r="H163" i="1"/>
  <c r="F163" i="1"/>
  <c r="D163" i="1"/>
  <c r="I163" i="1" s="1"/>
  <c r="A163" i="1"/>
  <c r="I162" i="1"/>
  <c r="H162" i="1"/>
  <c r="F162" i="1"/>
  <c r="D162" i="1"/>
  <c r="A162" i="1"/>
  <c r="H161" i="1"/>
  <c r="D161" i="1"/>
  <c r="A161" i="1"/>
  <c r="H160" i="1"/>
  <c r="D160" i="1"/>
  <c r="A160" i="1"/>
  <c r="H159" i="1"/>
  <c r="D159" i="1"/>
  <c r="F159" i="1" s="1"/>
  <c r="A159" i="1"/>
  <c r="H158" i="1"/>
  <c r="F158" i="1" s="1"/>
  <c r="I158" i="1" s="1"/>
  <c r="D158" i="1"/>
  <c r="A158" i="1"/>
  <c r="H157" i="1"/>
  <c r="D157" i="1"/>
  <c r="A157" i="1"/>
  <c r="A156" i="1"/>
  <c r="H154" i="1"/>
  <c r="D154" i="1"/>
  <c r="F154" i="1" s="1"/>
  <c r="A154" i="1"/>
  <c r="H153" i="1"/>
  <c r="F153" i="1" s="1"/>
  <c r="I153" i="1" s="1"/>
  <c r="D153" i="1"/>
  <c r="A153" i="1"/>
  <c r="H152" i="1"/>
  <c r="D152" i="1"/>
  <c r="A152" i="1"/>
  <c r="H151" i="1"/>
  <c r="F151" i="1"/>
  <c r="I151" i="1" s="1"/>
  <c r="D151" i="1"/>
  <c r="A151" i="1"/>
  <c r="H150" i="1"/>
  <c r="F150" i="1"/>
  <c r="D150" i="1"/>
  <c r="I150" i="1" s="1"/>
  <c r="A150" i="1"/>
  <c r="I149" i="1"/>
  <c r="H149" i="1"/>
  <c r="F149" i="1"/>
  <c r="D149" i="1"/>
  <c r="A149" i="1"/>
  <c r="I148" i="1"/>
  <c r="H148" i="1"/>
  <c r="D148" i="1"/>
  <c r="A148" i="1"/>
  <c r="H147" i="1"/>
  <c r="D147" i="1"/>
  <c r="A147" i="1"/>
  <c r="H146" i="1"/>
  <c r="F146" i="1"/>
  <c r="I146" i="1" s="1"/>
  <c r="D146" i="1"/>
  <c r="A146" i="1"/>
  <c r="H145" i="1"/>
  <c r="F145" i="1"/>
  <c r="D145" i="1"/>
  <c r="I145" i="1" s="1"/>
  <c r="A145" i="1"/>
  <c r="I144" i="1"/>
  <c r="H144" i="1"/>
  <c r="F144" i="1"/>
  <c r="D144" i="1"/>
  <c r="A144" i="1"/>
  <c r="H143" i="1"/>
  <c r="D143" i="1"/>
  <c r="A143" i="1"/>
  <c r="H142" i="1"/>
  <c r="D142" i="1"/>
  <c r="A142" i="1"/>
  <c r="H141" i="1"/>
  <c r="D141" i="1"/>
  <c r="F141" i="1" s="1"/>
  <c r="A141" i="1"/>
  <c r="H140" i="1"/>
  <c r="F140" i="1" s="1"/>
  <c r="I140" i="1" s="1"/>
  <c r="D140" i="1"/>
  <c r="A140" i="1"/>
  <c r="H139" i="1"/>
  <c r="D139" i="1"/>
  <c r="A139" i="1"/>
  <c r="H138" i="1"/>
  <c r="F138" i="1"/>
  <c r="I138" i="1" s="1"/>
  <c r="D138" i="1"/>
  <c r="A138" i="1"/>
  <c r="H137" i="1"/>
  <c r="F137" i="1"/>
  <c r="D137" i="1"/>
  <c r="I137" i="1" s="1"/>
  <c r="A137" i="1"/>
  <c r="I136" i="1"/>
  <c r="H136" i="1"/>
  <c r="F136" i="1"/>
  <c r="D136" i="1"/>
  <c r="A136" i="1"/>
  <c r="H135" i="1"/>
  <c r="D135" i="1"/>
  <c r="A135" i="1"/>
  <c r="H134" i="1"/>
  <c r="D134" i="1"/>
  <c r="A134" i="1"/>
  <c r="H133" i="1"/>
  <c r="D133" i="1"/>
  <c r="F133" i="1" s="1"/>
  <c r="A133" i="1"/>
  <c r="H132" i="1"/>
  <c r="E132" i="1"/>
  <c r="A132" i="1"/>
  <c r="H130" i="1"/>
  <c r="D130" i="1"/>
  <c r="A130" i="1"/>
  <c r="H129" i="1"/>
  <c r="D129" i="1"/>
  <c r="A129" i="1"/>
  <c r="H128" i="1"/>
  <c r="D128" i="1"/>
  <c r="F128" i="1" s="1"/>
  <c r="A128" i="1"/>
  <c r="H127" i="1"/>
  <c r="F127" i="1" s="1"/>
  <c r="I127" i="1" s="1"/>
  <c r="D127" i="1"/>
  <c r="A127" i="1"/>
  <c r="H126" i="1"/>
  <c r="D126" i="1"/>
  <c r="A126" i="1"/>
  <c r="H125" i="1"/>
  <c r="F125" i="1"/>
  <c r="I125" i="1" s="1"/>
  <c r="D125" i="1"/>
  <c r="A125" i="1"/>
  <c r="H124" i="1"/>
  <c r="F124" i="1"/>
  <c r="D124" i="1"/>
  <c r="I124" i="1" s="1"/>
  <c r="A124" i="1"/>
  <c r="I123" i="1"/>
  <c r="H123" i="1"/>
  <c r="F123" i="1"/>
  <c r="D123" i="1"/>
  <c r="A123" i="1"/>
  <c r="H122" i="1"/>
  <c r="D122" i="1"/>
  <c r="A122" i="1"/>
  <c r="H121" i="1"/>
  <c r="D121" i="1"/>
  <c r="A121" i="1"/>
  <c r="H120" i="1"/>
  <c r="D120" i="1"/>
  <c r="F120" i="1" s="1"/>
  <c r="A120" i="1"/>
  <c r="H119" i="1"/>
  <c r="D119" i="1"/>
  <c r="F119" i="1" s="1"/>
  <c r="I119" i="1" s="1"/>
  <c r="A119" i="1"/>
  <c r="H118" i="1"/>
  <c r="D118" i="1"/>
  <c r="A118" i="1"/>
  <c r="H117" i="1"/>
  <c r="F117" i="1"/>
  <c r="I117" i="1" s="1"/>
  <c r="D117" i="1"/>
  <c r="A117" i="1"/>
  <c r="H116" i="1"/>
  <c r="F116" i="1"/>
  <c r="D116" i="1"/>
  <c r="I116" i="1" s="1"/>
  <c r="A116" i="1"/>
  <c r="I115" i="1"/>
  <c r="H115" i="1"/>
  <c r="F115" i="1"/>
  <c r="D115" i="1"/>
  <c r="A115" i="1"/>
  <c r="H114" i="1"/>
  <c r="D114" i="1"/>
  <c r="A114" i="1"/>
  <c r="H113" i="1"/>
  <c r="D113" i="1"/>
  <c r="A113" i="1"/>
  <c r="H112" i="1"/>
  <c r="D112" i="1"/>
  <c r="F112" i="1" s="1"/>
  <c r="A112" i="1"/>
  <c r="H111" i="1"/>
  <c r="D111" i="1"/>
  <c r="F111" i="1" s="1"/>
  <c r="I111" i="1" s="1"/>
  <c r="A111" i="1"/>
  <c r="H110" i="1"/>
  <c r="D110" i="1"/>
  <c r="A110" i="1"/>
  <c r="H109" i="1"/>
  <c r="F109" i="1"/>
  <c r="I109" i="1" s="1"/>
  <c r="D109" i="1"/>
  <c r="A109" i="1"/>
  <c r="H108" i="1"/>
  <c r="F108" i="1"/>
  <c r="D108" i="1"/>
  <c r="I108" i="1" s="1"/>
  <c r="A108" i="1"/>
  <c r="I107" i="1"/>
  <c r="H107" i="1"/>
  <c r="F107" i="1"/>
  <c r="D107" i="1"/>
  <c r="A107" i="1"/>
  <c r="H106" i="1"/>
  <c r="D106" i="1"/>
  <c r="A106" i="1"/>
  <c r="H105" i="1"/>
  <c r="D105" i="1"/>
  <c r="A105" i="1"/>
  <c r="H104" i="1"/>
  <c r="C104" i="1"/>
  <c r="A104" i="1"/>
  <c r="I102" i="1"/>
  <c r="H102" i="1"/>
  <c r="F102" i="1"/>
  <c r="D102" i="1"/>
  <c r="A102" i="1"/>
  <c r="H101" i="1"/>
  <c r="D101" i="1"/>
  <c r="A101" i="1"/>
  <c r="H100" i="1"/>
  <c r="D100" i="1"/>
  <c r="A100" i="1"/>
  <c r="H99" i="1"/>
  <c r="D99" i="1"/>
  <c r="F99" i="1" s="1"/>
  <c r="A99" i="1"/>
  <c r="H98" i="1"/>
  <c r="D98" i="1"/>
  <c r="F98" i="1" s="1"/>
  <c r="I98" i="1" s="1"/>
  <c r="A98" i="1"/>
  <c r="H97" i="1"/>
  <c r="D97" i="1"/>
  <c r="A97" i="1"/>
  <c r="H96" i="1"/>
  <c r="F96" i="1"/>
  <c r="I96" i="1" s="1"/>
  <c r="D96" i="1"/>
  <c r="A96" i="1"/>
  <c r="H95" i="1"/>
  <c r="F95" i="1"/>
  <c r="D95" i="1"/>
  <c r="I95" i="1" s="1"/>
  <c r="A95" i="1"/>
  <c r="I94" i="1"/>
  <c r="H94" i="1"/>
  <c r="F94" i="1"/>
  <c r="D94" i="1"/>
  <c r="A94" i="1"/>
  <c r="H93" i="1"/>
  <c r="D93" i="1"/>
  <c r="A93" i="1"/>
  <c r="H92" i="1"/>
  <c r="D92" i="1"/>
  <c r="A92" i="1"/>
  <c r="H91" i="1"/>
  <c r="D91" i="1"/>
  <c r="F91" i="1" s="1"/>
  <c r="A91" i="1"/>
  <c r="H90" i="1"/>
  <c r="D90" i="1"/>
  <c r="F90" i="1" s="1"/>
  <c r="I90" i="1" s="1"/>
  <c r="A90" i="1"/>
  <c r="H89" i="1"/>
  <c r="D89" i="1"/>
  <c r="A89" i="1"/>
  <c r="H88" i="1"/>
  <c r="F88" i="1"/>
  <c r="I88" i="1" s="1"/>
  <c r="D88" i="1"/>
  <c r="A88" i="1"/>
  <c r="H87" i="1"/>
  <c r="F87" i="1"/>
  <c r="D87" i="1"/>
  <c r="I87" i="1" s="1"/>
  <c r="A87" i="1"/>
  <c r="I86" i="1"/>
  <c r="H86" i="1"/>
  <c r="F86" i="1"/>
  <c r="D86" i="1"/>
  <c r="A86" i="1"/>
  <c r="H85" i="1"/>
  <c r="D85" i="1"/>
  <c r="A85" i="1"/>
  <c r="H84" i="1"/>
  <c r="D84" i="1"/>
  <c r="A84" i="1"/>
  <c r="H83" i="1"/>
  <c r="D83" i="1"/>
  <c r="F83" i="1" s="1"/>
  <c r="A83" i="1"/>
  <c r="H82" i="1"/>
  <c r="D82" i="1"/>
  <c r="F82" i="1" s="1"/>
  <c r="I82" i="1" s="1"/>
  <c r="A82" i="1"/>
  <c r="H81" i="1"/>
  <c r="D81" i="1"/>
  <c r="A81" i="1"/>
  <c r="A80" i="1"/>
  <c r="H78" i="1"/>
  <c r="D78" i="1"/>
  <c r="F78" i="1" s="1"/>
  <c r="A78" i="1"/>
  <c r="H77" i="1"/>
  <c r="D77" i="1"/>
  <c r="F77" i="1" s="1"/>
  <c r="I77" i="1" s="1"/>
  <c r="A77" i="1"/>
  <c r="H76" i="1"/>
  <c r="D76" i="1"/>
  <c r="A76" i="1"/>
  <c r="H75" i="1"/>
  <c r="F75" i="1"/>
  <c r="I75" i="1" s="1"/>
  <c r="D75" i="1"/>
  <c r="A75" i="1"/>
  <c r="H74" i="1"/>
  <c r="F74" i="1"/>
  <c r="D74" i="1"/>
  <c r="I74" i="1" s="1"/>
  <c r="A74" i="1"/>
  <c r="I73" i="1"/>
  <c r="H73" i="1"/>
  <c r="F73" i="1"/>
  <c r="D73" i="1"/>
  <c r="A73" i="1"/>
  <c r="H72" i="1"/>
  <c r="D72" i="1"/>
  <c r="A72" i="1"/>
  <c r="H71" i="1"/>
  <c r="D71" i="1"/>
  <c r="A71" i="1"/>
  <c r="H70" i="1"/>
  <c r="D70" i="1"/>
  <c r="F70" i="1" s="1"/>
  <c r="A70" i="1"/>
  <c r="H69" i="1"/>
  <c r="D69" i="1"/>
  <c r="F69" i="1" s="1"/>
  <c r="I69" i="1" s="1"/>
  <c r="A69" i="1"/>
  <c r="H68" i="1"/>
  <c r="D68" i="1"/>
  <c r="A68" i="1"/>
  <c r="H67" i="1"/>
  <c r="F67" i="1"/>
  <c r="I67" i="1" s="1"/>
  <c r="D67" i="1"/>
  <c r="A67" i="1"/>
  <c r="H66" i="1"/>
  <c r="F66" i="1"/>
  <c r="D66" i="1"/>
  <c r="I66" i="1" s="1"/>
  <c r="A66" i="1"/>
  <c r="I65" i="1"/>
  <c r="H65" i="1"/>
  <c r="F65" i="1"/>
  <c r="D65" i="1"/>
  <c r="A65" i="1"/>
  <c r="H64" i="1"/>
  <c r="D64" i="1"/>
  <c r="A64" i="1"/>
  <c r="H63" i="1"/>
  <c r="D63" i="1"/>
  <c r="A63" i="1"/>
  <c r="H62" i="1"/>
  <c r="D62" i="1"/>
  <c r="F62" i="1" s="1"/>
  <c r="A62" i="1"/>
  <c r="H61" i="1"/>
  <c r="D61" i="1"/>
  <c r="F61" i="1" s="1"/>
  <c r="I61" i="1" s="1"/>
  <c r="A61" i="1"/>
  <c r="H60" i="1"/>
  <c r="D60" i="1"/>
  <c r="A60" i="1"/>
  <c r="H59" i="1"/>
  <c r="F59" i="1"/>
  <c r="I59" i="1" s="1"/>
  <c r="D59" i="1"/>
  <c r="A59" i="1"/>
  <c r="H58" i="1"/>
  <c r="F58" i="1"/>
  <c r="D58" i="1"/>
  <c r="I58" i="1" s="1"/>
  <c r="A58" i="1"/>
  <c r="I57" i="1"/>
  <c r="H57" i="1"/>
  <c r="F57" i="1"/>
  <c r="D57" i="1"/>
  <c r="A57" i="1"/>
  <c r="H56" i="1"/>
  <c r="D56" i="1"/>
  <c r="A56" i="1"/>
  <c r="H55" i="1"/>
  <c r="D55" i="1"/>
  <c r="A55" i="1"/>
  <c r="H54" i="1"/>
  <c r="D54" i="1"/>
  <c r="F54" i="1" s="1"/>
  <c r="A54" i="1"/>
  <c r="H53" i="1"/>
  <c r="D53" i="1"/>
  <c r="F53" i="1" s="1"/>
  <c r="I53" i="1" s="1"/>
  <c r="A53" i="1"/>
  <c r="H52" i="1"/>
  <c r="D52" i="1"/>
  <c r="A52" i="1"/>
  <c r="H51" i="1"/>
  <c r="F51" i="1"/>
  <c r="I51" i="1" s="1"/>
  <c r="D51" i="1"/>
  <c r="A51" i="1"/>
  <c r="H50" i="1"/>
  <c r="F50" i="1"/>
  <c r="D50" i="1"/>
  <c r="I50" i="1" s="1"/>
  <c r="A50" i="1"/>
  <c r="I49" i="1"/>
  <c r="H49" i="1"/>
  <c r="F49" i="1"/>
  <c r="D49" i="1"/>
  <c r="A49" i="1"/>
  <c r="H48" i="1"/>
  <c r="D48" i="1"/>
  <c r="A48" i="1"/>
  <c r="I47" i="1"/>
  <c r="F47" i="1"/>
  <c r="C47" i="1"/>
  <c r="A47" i="1"/>
  <c r="H44" i="1"/>
  <c r="F44" i="1"/>
  <c r="D44" i="1"/>
  <c r="I44" i="1" s="1"/>
  <c r="A44" i="1"/>
  <c r="I43" i="1"/>
  <c r="H43" i="1"/>
  <c r="F43" i="1"/>
  <c r="D43" i="1"/>
  <c r="A43" i="1"/>
  <c r="H42" i="1"/>
  <c r="D42" i="1"/>
  <c r="A42" i="1"/>
  <c r="H41" i="1"/>
  <c r="D41" i="1"/>
  <c r="A41" i="1"/>
  <c r="H40" i="1"/>
  <c r="F40" i="1" s="1"/>
  <c r="I40" i="1" s="1"/>
  <c r="A40" i="1"/>
  <c r="H39" i="1"/>
  <c r="F39" i="1"/>
  <c r="D39" i="1"/>
  <c r="I39" i="1" s="1"/>
  <c r="A39" i="1"/>
  <c r="I38" i="1"/>
  <c r="H38" i="1"/>
  <c r="F38" i="1"/>
  <c r="D38" i="1"/>
  <c r="A38" i="1"/>
  <c r="H37" i="1"/>
  <c r="D37" i="1"/>
  <c r="A37" i="1"/>
  <c r="H36" i="1"/>
  <c r="D36" i="1"/>
  <c r="A36" i="1"/>
  <c r="H35" i="1"/>
  <c r="D35" i="1"/>
  <c r="F35" i="1" s="1"/>
  <c r="A35" i="1"/>
  <c r="H34" i="1"/>
  <c r="D34" i="1"/>
  <c r="F34" i="1" s="1"/>
  <c r="I34" i="1" s="1"/>
  <c r="A34" i="1"/>
  <c r="H33" i="1"/>
  <c r="D33" i="1"/>
  <c r="A33" i="1"/>
  <c r="H32" i="1"/>
  <c r="F32" i="1"/>
  <c r="D32" i="1"/>
  <c r="I32" i="1" s="1"/>
  <c r="A32" i="1"/>
  <c r="H31" i="1"/>
  <c r="F31" i="1"/>
  <c r="D31" i="1"/>
  <c r="I31" i="1" s="1"/>
  <c r="A31" i="1"/>
  <c r="I30" i="1"/>
  <c r="H30" i="1"/>
  <c r="F30" i="1"/>
  <c r="D30" i="1"/>
  <c r="A30" i="1"/>
  <c r="H29" i="1"/>
  <c r="D29" i="1"/>
  <c r="A29" i="1"/>
  <c r="H28" i="1"/>
  <c r="D28" i="1"/>
  <c r="A28" i="1"/>
  <c r="H27" i="1"/>
  <c r="D27" i="1"/>
  <c r="F27" i="1" s="1"/>
  <c r="A27" i="1"/>
  <c r="H26" i="1"/>
  <c r="D26" i="1"/>
  <c r="F26" i="1" s="1"/>
  <c r="I26" i="1" s="1"/>
  <c r="A26" i="1"/>
  <c r="H25" i="1"/>
  <c r="D25" i="1"/>
  <c r="A25" i="1"/>
  <c r="H24" i="1"/>
  <c r="F24" i="1"/>
  <c r="D24" i="1"/>
  <c r="I24" i="1" s="1"/>
  <c r="A24" i="1"/>
  <c r="D23" i="1"/>
  <c r="A23" i="1"/>
  <c r="H22" i="1"/>
  <c r="D22" i="1"/>
  <c r="F22" i="1" s="1"/>
  <c r="A22" i="1"/>
  <c r="H21" i="1"/>
  <c r="D21" i="1"/>
  <c r="F21" i="1" s="1"/>
  <c r="I21" i="1" s="1"/>
  <c r="A21" i="1"/>
  <c r="H20" i="1"/>
  <c r="D20" i="1"/>
  <c r="A20" i="1"/>
  <c r="A19" i="1"/>
  <c r="H17" i="1"/>
  <c r="D17" i="1"/>
  <c r="F17" i="1" s="1"/>
  <c r="A17" i="1"/>
  <c r="H16" i="1"/>
  <c r="D16" i="1"/>
  <c r="F16" i="1" s="1"/>
  <c r="I16" i="1" s="1"/>
  <c r="A16" i="1"/>
  <c r="H15" i="1"/>
  <c r="D15" i="1"/>
  <c r="A15" i="1"/>
  <c r="H14" i="1"/>
  <c r="F14" i="1"/>
  <c r="I14" i="1" s="1"/>
  <c r="D14" i="1"/>
  <c r="A14" i="1"/>
  <c r="H13" i="1"/>
  <c r="F13" i="1"/>
  <c r="I13" i="1" s="1"/>
  <c r="D13" i="1"/>
  <c r="A13" i="1"/>
  <c r="I12" i="1"/>
  <c r="H12" i="1"/>
  <c r="F12" i="1"/>
  <c r="D12" i="1"/>
  <c r="A12" i="1"/>
  <c r="H11" i="1"/>
  <c r="D11" i="1"/>
  <c r="A11" i="1"/>
  <c r="H10" i="1"/>
  <c r="D10" i="1"/>
  <c r="A10" i="1"/>
  <c r="H9" i="1"/>
  <c r="D9" i="1"/>
  <c r="F9" i="1" s="1"/>
  <c r="A9" i="1"/>
  <c r="H8" i="1"/>
  <c r="D8" i="1"/>
  <c r="F8" i="1" s="1"/>
  <c r="I8" i="1" s="1"/>
  <c r="A8" i="1"/>
  <c r="H7" i="1"/>
  <c r="D7" i="1"/>
  <c r="A7" i="1"/>
  <c r="I6" i="1"/>
  <c r="I132" i="1" s="1"/>
  <c r="H6" i="1"/>
  <c r="H167" i="1" s="1"/>
  <c r="G6" i="1"/>
  <c r="G199" i="1" s="1"/>
  <c r="F6" i="1"/>
  <c r="F156" i="1" s="1"/>
  <c r="E6" i="1"/>
  <c r="E80" i="1" s="1"/>
  <c r="D6" i="1"/>
  <c r="D132" i="1" s="1"/>
  <c r="C6" i="1"/>
  <c r="C132" i="1" s="1"/>
  <c r="B6" i="1"/>
  <c r="B47" i="1" s="1"/>
  <c r="A6" i="1"/>
  <c r="A4" i="1"/>
  <c r="G3" i="1"/>
  <c r="A3" i="1"/>
  <c r="G2" i="1"/>
  <c r="A2" i="1"/>
  <c r="B214" i="4" l="1"/>
  <c r="B211" i="4"/>
  <c r="B215" i="4"/>
  <c r="B216" i="4"/>
  <c r="B218" i="4"/>
  <c r="I33" i="1"/>
  <c r="I92" i="1"/>
  <c r="I63" i="1"/>
  <c r="I105" i="1"/>
  <c r="I114" i="1"/>
  <c r="I93" i="1"/>
  <c r="I97" i="1"/>
  <c r="I100" i="1"/>
  <c r="I20" i="1"/>
  <c r="I23" i="1"/>
  <c r="I55" i="1"/>
  <c r="I89" i="1"/>
  <c r="I9" i="1"/>
  <c r="F11" i="1"/>
  <c r="I11" i="1" s="1"/>
  <c r="I17" i="1"/>
  <c r="H19" i="1"/>
  <c r="I22" i="1"/>
  <c r="I27" i="1"/>
  <c r="F29" i="1"/>
  <c r="I29" i="1" s="1"/>
  <c r="I35" i="1"/>
  <c r="F37" i="1"/>
  <c r="I37" i="1" s="1"/>
  <c r="F42" i="1"/>
  <c r="I42" i="1" s="1"/>
  <c r="D47" i="1"/>
  <c r="F48" i="1"/>
  <c r="I48" i="1" s="1"/>
  <c r="I54" i="1"/>
  <c r="F56" i="1"/>
  <c r="I56" i="1" s="1"/>
  <c r="I62" i="1"/>
  <c r="F64" i="1"/>
  <c r="I64" i="1" s="1"/>
  <c r="I70" i="1"/>
  <c r="F72" i="1"/>
  <c r="I72" i="1" s="1"/>
  <c r="I78" i="1"/>
  <c r="H80" i="1"/>
  <c r="I83" i="1"/>
  <c r="F85" i="1"/>
  <c r="I85" i="1" s="1"/>
  <c r="I91" i="1"/>
  <c r="F93" i="1"/>
  <c r="I99" i="1"/>
  <c r="F101" i="1"/>
  <c r="I101" i="1" s="1"/>
  <c r="I104" i="1"/>
  <c r="F106" i="1"/>
  <c r="I106" i="1" s="1"/>
  <c r="I112" i="1"/>
  <c r="F114" i="1"/>
  <c r="I120" i="1"/>
  <c r="F122" i="1"/>
  <c r="I122" i="1" s="1"/>
  <c r="I128" i="1"/>
  <c r="F130" i="1"/>
  <c r="I130" i="1" s="1"/>
  <c r="F132" i="1"/>
  <c r="I133" i="1"/>
  <c r="F135" i="1"/>
  <c r="I135" i="1" s="1"/>
  <c r="I141" i="1"/>
  <c r="F143" i="1"/>
  <c r="I143" i="1" s="1"/>
  <c r="I154" i="1"/>
  <c r="H156" i="1"/>
  <c r="I159" i="1"/>
  <c r="F161" i="1"/>
  <c r="I161" i="1" s="1"/>
  <c r="B167" i="1"/>
  <c r="F171" i="1"/>
  <c r="I171" i="1" s="1"/>
  <c r="I177" i="1"/>
  <c r="F179" i="1"/>
  <c r="I179" i="1" s="1"/>
  <c r="I185" i="1"/>
  <c r="F187" i="1"/>
  <c r="I187" i="1" s="1"/>
  <c r="I193" i="1"/>
  <c r="G156" i="1"/>
  <c r="I19" i="1"/>
  <c r="E47" i="1"/>
  <c r="I80" i="1"/>
  <c r="B104" i="1"/>
  <c r="G132" i="1"/>
  <c r="I156" i="1"/>
  <c r="C167" i="1"/>
  <c r="B80" i="1"/>
  <c r="B156" i="1"/>
  <c r="D167" i="1"/>
  <c r="G80" i="1"/>
  <c r="F41" i="1"/>
  <c r="I41" i="1" s="1"/>
  <c r="G47" i="1"/>
  <c r="F55" i="1"/>
  <c r="F63" i="1"/>
  <c r="F71" i="1"/>
  <c r="I71" i="1" s="1"/>
  <c r="C80" i="1"/>
  <c r="F84" i="1"/>
  <c r="I84" i="1" s="1"/>
  <c r="F92" i="1"/>
  <c r="F100" i="1"/>
  <c r="D104" i="1"/>
  <c r="F105" i="1"/>
  <c r="F113" i="1"/>
  <c r="I113" i="1" s="1"/>
  <c r="F121" i="1"/>
  <c r="I121" i="1" s="1"/>
  <c r="F129" i="1"/>
  <c r="I129" i="1" s="1"/>
  <c r="F134" i="1"/>
  <c r="I134" i="1" s="1"/>
  <c r="F142" i="1"/>
  <c r="I142" i="1" s="1"/>
  <c r="C156" i="1"/>
  <c r="F160" i="1"/>
  <c r="I160" i="1" s="1"/>
  <c r="E167" i="1"/>
  <c r="F170" i="1"/>
  <c r="I170" i="1" s="1"/>
  <c r="F178" i="1"/>
  <c r="I178" i="1" s="1"/>
  <c r="F186" i="1"/>
  <c r="I186" i="1" s="1"/>
  <c r="F194" i="1"/>
  <c r="I194" i="1" s="1"/>
  <c r="B19" i="1"/>
  <c r="F10" i="1"/>
  <c r="I10" i="1" s="1"/>
  <c r="C19" i="1"/>
  <c r="F23" i="1"/>
  <c r="F28" i="1"/>
  <c r="I28" i="1" s="1"/>
  <c r="F36" i="1"/>
  <c r="I36" i="1" s="1"/>
  <c r="F7" i="1"/>
  <c r="I7" i="1" s="1"/>
  <c r="B211" i="1" s="1"/>
  <c r="F15" i="1"/>
  <c r="I15" i="1" s="1"/>
  <c r="D19" i="1"/>
  <c r="F20" i="1"/>
  <c r="F25" i="1"/>
  <c r="I25" i="1" s="1"/>
  <c r="F33" i="1"/>
  <c r="H47" i="1"/>
  <c r="F52" i="1"/>
  <c r="I52" i="1" s="1"/>
  <c r="F60" i="1"/>
  <c r="I60" i="1" s="1"/>
  <c r="F68" i="1"/>
  <c r="I68" i="1" s="1"/>
  <c r="F76" i="1"/>
  <c r="I76" i="1" s="1"/>
  <c r="D80" i="1"/>
  <c r="F81" i="1"/>
  <c r="I81" i="1" s="1"/>
  <c r="B214" i="1" s="1"/>
  <c r="F89" i="1"/>
  <c r="F97" i="1"/>
  <c r="E104" i="1"/>
  <c r="F110" i="1"/>
  <c r="I110" i="1" s="1"/>
  <c r="F118" i="1"/>
  <c r="I118" i="1" s="1"/>
  <c r="F126" i="1"/>
  <c r="I126" i="1" s="1"/>
  <c r="B132" i="1"/>
  <c r="F139" i="1"/>
  <c r="I139" i="1" s="1"/>
  <c r="F147" i="1"/>
  <c r="I147" i="1" s="1"/>
  <c r="F152" i="1"/>
  <c r="I152" i="1" s="1"/>
  <c r="D156" i="1"/>
  <c r="F157" i="1"/>
  <c r="I157" i="1" s="1"/>
  <c r="B217" i="1" s="1"/>
  <c r="F165" i="1"/>
  <c r="I165" i="1" s="1"/>
  <c r="F167" i="1"/>
  <c r="F175" i="1"/>
  <c r="I175" i="1" s="1"/>
  <c r="F183" i="1"/>
  <c r="I183" i="1" s="1"/>
  <c r="F191" i="1"/>
  <c r="I191" i="1" s="1"/>
  <c r="E19" i="1"/>
  <c r="F104" i="1"/>
  <c r="E156" i="1"/>
  <c r="G167" i="1"/>
  <c r="G19" i="1"/>
  <c r="F19" i="1"/>
  <c r="F80" i="1"/>
  <c r="G104" i="1"/>
  <c r="B220" i="4" l="1"/>
  <c r="B213" i="1"/>
  <c r="B218" i="1"/>
  <c r="B220" i="1" s="1"/>
  <c r="B215" i="1"/>
  <c r="B212" i="1"/>
  <c r="B216" i="1"/>
</calcChain>
</file>

<file path=xl/sharedStrings.xml><?xml version="1.0" encoding="utf-8"?>
<sst xmlns="http://schemas.openxmlformats.org/spreadsheetml/2006/main" count="378" uniqueCount="8">
  <si>
    <t>total</t>
  </si>
  <si>
    <t>VTS</t>
  </si>
  <si>
    <t xml:space="preserve"> </t>
  </si>
  <si>
    <t>GW</t>
  </si>
  <si>
    <t>GS</t>
  </si>
  <si>
    <t>Gwde</t>
  </si>
  <si>
    <t>VOA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</si>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</sst>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\$#,##0"/>
    <numFmt numFmtId="166" formatCode="#,##0\ ;[Red]\(#,##0\)"/>
    <numFmt numFmtId="167" formatCode="\$#,##0\ ;[Red]&quot;($&quot;#,##0\)"/>
  </numFmts>
  <fonts count="13" x14ac:knownFonts="1">
    <font>
      <sz val="1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</font>
    <font>
      <sz val="9"/>
      <color rgb="FF0070C0"/>
      <name val="Calibri"/>
      <family val="2"/>
    </font>
    <font>
      <sz val="11"/>
      <color rgb="FF0070C0"/>
      <name val="Calibri"/>
      <family val="2"/>
    </font>
    <font>
      <sz val="9"/>
      <color rgb="FF000000"/>
      <name val="Calibri"/>
      <family val="2"/>
    </font>
    <font>
      <b/>
      <sz val="10"/>
      <color rgb="FF0070C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3E2F5"/>
        <bgColor rgb="FFC6D9F1"/>
      </patternFill>
    </fill>
    <fill>
      <patternFill patternType="solid">
        <fgColor rgb="FFF2DBF2"/>
        <bgColor rgb="FFD3E2F5"/>
      </patternFill>
    </fill>
    <fill>
      <patternFill patternType="solid">
        <fgColor rgb="FFC9FFC9"/>
        <bgColor rgb="FFCCFFFF"/>
      </patternFill>
    </fill>
    <fill>
      <patternFill patternType="solid">
        <fgColor rgb="FFFFFFFF"/>
        <bgColor rgb="FFCCFFFF"/>
      </patternFill>
    </fill>
    <fill>
      <patternFill patternType="solid">
        <fgColor rgb="FFC6D9F1"/>
        <bgColor rgb="FFD3E2F5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Border="1" applyAlignment="1" applyProtection="1"/>
    <xf numFmtId="0" fontId="0" fillId="2" borderId="2" xfId="0" applyFill="1" applyBorder="1"/>
    <xf numFmtId="0" fontId="0" fillId="0" borderId="4" xfId="0" applyBorder="1"/>
    <xf numFmtId="164" fontId="0" fillId="0" borderId="4" xfId="0" applyNumberFormat="1" applyBorder="1"/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" borderId="6" xfId="0" applyFont="1" applyFill="1" applyBorder="1"/>
    <xf numFmtId="0" fontId="5" fillId="3" borderId="7" xfId="0" applyFont="1" applyFill="1" applyBorder="1"/>
    <xf numFmtId="0" fontId="4" fillId="3" borderId="7" xfId="0" applyFont="1" applyFill="1" applyBorder="1" applyAlignment="1"/>
    <xf numFmtId="0" fontId="2" fillId="3" borderId="7" xfId="0" applyFont="1" applyFill="1" applyBorder="1" applyAlignment="1"/>
    <xf numFmtId="0" fontId="4" fillId="3" borderId="8" xfId="0" applyFont="1" applyFill="1" applyBorder="1"/>
    <xf numFmtId="0" fontId="0" fillId="2" borderId="9" xfId="0" applyFill="1" applyBorder="1"/>
    <xf numFmtId="0" fontId="6" fillId="2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5" fontId="8" fillId="2" borderId="9" xfId="0" applyNumberFormat="1" applyFont="1" applyFill="1" applyBorder="1" applyAlignment="1">
      <alignment horizontal="center"/>
    </xf>
    <xf numFmtId="166" fontId="8" fillId="0" borderId="9" xfId="0" applyNumberFormat="1" applyFont="1" applyFill="1" applyBorder="1" applyAlignment="1">
      <alignment horizontal="center"/>
    </xf>
    <xf numFmtId="167" fontId="8" fillId="2" borderId="9" xfId="0" applyNumberFormat="1" applyFont="1" applyFill="1" applyBorder="1" applyAlignment="1">
      <alignment horizontal="center"/>
    </xf>
    <xf numFmtId="0" fontId="0" fillId="0" borderId="9" xfId="0" applyBorder="1"/>
    <xf numFmtId="3" fontId="8" fillId="2" borderId="9" xfId="0" applyNumberFormat="1" applyFon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0" fontId="0" fillId="2" borderId="10" xfId="0" applyFill="1" applyBorder="1"/>
    <xf numFmtId="0" fontId="6" fillId="2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5" fontId="8" fillId="2" borderId="10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7" fontId="8" fillId="2" borderId="10" xfId="0" applyNumberFormat="1" applyFont="1" applyFill="1" applyBorder="1" applyAlignment="1">
      <alignment horizontal="center"/>
    </xf>
    <xf numFmtId="0" fontId="0" fillId="0" borderId="10" xfId="0" applyBorder="1"/>
    <xf numFmtId="3" fontId="8" fillId="2" borderId="10" xfId="0" applyNumberFormat="1" applyFont="1" applyFill="1" applyBorder="1" applyAlignment="1">
      <alignment horizontal="center"/>
    </xf>
    <xf numFmtId="165" fontId="0" fillId="4" borderId="10" xfId="0" applyNumberForma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3" borderId="11" xfId="0" applyFont="1" applyFill="1" applyBorder="1"/>
    <xf numFmtId="0" fontId="10" fillId="3" borderId="1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6" fontId="8" fillId="2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0" fillId="5" borderId="9" xfId="0" applyFill="1" applyBorder="1"/>
    <xf numFmtId="0" fontId="8" fillId="5" borderId="9" xfId="0" applyFont="1" applyFill="1" applyBorder="1" applyAlignment="1">
      <alignment horizontal="center"/>
    </xf>
    <xf numFmtId="165" fontId="0" fillId="4" borderId="14" xfId="0" applyNumberFormat="1" applyFill="1" applyBorder="1" applyAlignment="1">
      <alignment horizontal="center"/>
    </xf>
    <xf numFmtId="0" fontId="0" fillId="5" borderId="10" xfId="0" applyFill="1" applyBorder="1"/>
    <xf numFmtId="0" fontId="8" fillId="5" borderId="10" xfId="0" applyFont="1" applyFill="1" applyBorder="1" applyAlignment="1">
      <alignment horizontal="center"/>
    </xf>
    <xf numFmtId="165" fontId="0" fillId="4" borderId="16" xfId="0" applyNumberFormat="1" applyFill="1" applyBorder="1" applyAlignment="1">
      <alignment horizontal="center"/>
    </xf>
    <xf numFmtId="0" fontId="0" fillId="5" borderId="18" xfId="0" applyFill="1" applyBorder="1"/>
    <xf numFmtId="0" fontId="8" fillId="5" borderId="1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5" fontId="0" fillId="4" borderId="10" xfId="0" applyNumberFormat="1" applyFill="1" applyBorder="1"/>
    <xf numFmtId="0" fontId="0" fillId="2" borderId="19" xfId="0" applyFill="1" applyBorder="1"/>
    <xf numFmtId="165" fontId="0" fillId="4" borderId="19" xfId="0" applyNumberFormat="1" applyFill="1" applyBorder="1"/>
    <xf numFmtId="0" fontId="3" fillId="2" borderId="2" xfId="0" applyFont="1" applyFill="1" applyBorder="1" applyAlignment="1">
      <alignment horizontal="center"/>
    </xf>
    <xf numFmtId="165" fontId="0" fillId="5" borderId="2" xfId="0" applyNumberFormat="1" applyFill="1" applyBorder="1"/>
    <xf numFmtId="165" fontId="0" fillId="0" borderId="2" xfId="0" applyNumberFormat="1" applyBorder="1"/>
    <xf numFmtId="0" fontId="0" fillId="2" borderId="2" xfId="0" applyFill="1" applyBorder="1"/>
    <xf numFmtId="0" fontId="0" fillId="0" borderId="17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3" borderId="12" xfId="0" applyFont="1" applyFill="1" applyBorder="1"/>
    <xf numFmtId="0" fontId="0" fillId="0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left"/>
    </xf>
  </cellXfs>
  <cellStyles count="6">
    <cellStyle name="Comma" xfId="1"/>
    <cellStyle name="Comma[0]" xfId="2"/>
    <cellStyle name="Currency" xfId="3"/>
    <cellStyle name="Currency[0]" xfId="4"/>
    <cellStyle name="Normal" xfId="0" builtinId="0"/>
    <cellStyle name="Percent" xfId="5"/>
  </cellStyles>
  <dxfs count="0"/>
  <tableStyles count="0" defaultPivotStyle="PivotStyleLight16"/>
  <colors>
    <indexedColors>
      <rgbColor rgb="00000000"/>
      <rgbColor rgb="00FFFFFF"/>
      <rgbColor rgb="00FF0000"/>
      <rgbColor rgb="000080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DBF2"/>
      <rgbColor rgb="00D3E2F5"/>
      <rgbColor rgb="00660066"/>
      <rgbColor rgb="00FF8080"/>
      <rgbColor rgb="000070C0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9FFC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topLeftCell="A199" workbookViewId="0">
      <selection activeCell="L201" sqref="L201"/>
    </sheetView>
  </sheetViews>
  <sheetFormatPr defaultRowHeight="14.45" customHeight="1" x14ac:dyDescent="0.25"/>
  <cols>
    <col min="1" max="1" width="25" style="1" customWidth="1"/>
    <col min="2" max="2" width="7.42578125" style="1" customWidth="1"/>
    <col min="3" max="3" width="6.7109375" style="1" customWidth="1"/>
    <col min="4" max="5" width="5" style="1" customWidth="1"/>
    <col min="6" max="7" width="5.5703125" style="1" customWidth="1"/>
    <col min="8" max="8" width="5.85546875" style="1" customWidth="1"/>
  </cols>
  <sheetData>
    <row r="1" spans="1:9" ht="16.149999999999999" customHeight="1" thickBot="1" x14ac:dyDescent="0.3">
      <c r="A1" s="69" t="str">
        <f>CONCATENATE("Non-Cash Donations Calculator ","")</f>
        <v xml:space="preserve">Non-Cash Donations Calculator </v>
      </c>
      <c r="B1" s="69"/>
      <c r="C1" s="69"/>
      <c r="D1" s="69"/>
      <c r="E1" s="69"/>
      <c r="F1" s="69"/>
      <c r="G1" s="69"/>
      <c r="H1" s="69"/>
      <c r="I1" s="69"/>
    </row>
    <row r="2" spans="1:9" ht="15.6" customHeight="1" thickTop="1" thickBot="1" x14ac:dyDescent="0.25">
      <c r="A2" s="62" t="str">
        <f>CONCATENATE("Donated By","")</f>
        <v>Donated By</v>
      </c>
      <c r="B2" s="70"/>
      <c r="C2" s="70"/>
      <c r="D2" s="70"/>
      <c r="E2" s="70"/>
      <c r="F2" s="70"/>
      <c r="G2" s="71" t="str">
        <f>CONCATENATE("Tax Year","")</f>
        <v>Tax Year</v>
      </c>
      <c r="H2" s="71"/>
      <c r="I2" s="3"/>
    </row>
    <row r="3" spans="1:9" ht="15.6" customHeight="1" thickTop="1" thickBot="1" x14ac:dyDescent="0.25">
      <c r="A3" s="62" t="str">
        <f>CONCATENATE("Charity Name","")</f>
        <v>Charity Name</v>
      </c>
      <c r="B3" s="70"/>
      <c r="C3" s="70"/>
      <c r="D3" s="70"/>
      <c r="E3" s="70"/>
      <c r="F3" s="70"/>
      <c r="G3" s="72" t="str">
        <f>CONCATENATE("Donate Date","")</f>
        <v>Donate Date</v>
      </c>
      <c r="H3" s="72"/>
      <c r="I3" s="4"/>
    </row>
    <row r="4" spans="1:9" ht="15.6" customHeight="1" thickTop="1" thickBot="1" x14ac:dyDescent="0.25">
      <c r="A4" s="62" t="str">
        <f>CONCATENATE("Charity Address","")</f>
        <v>Charity Address</v>
      </c>
      <c r="B4" s="66"/>
      <c r="C4" s="66"/>
      <c r="D4" s="66"/>
      <c r="E4" s="66"/>
      <c r="F4" s="66"/>
      <c r="G4" s="66"/>
      <c r="H4" s="66"/>
      <c r="I4" s="66"/>
    </row>
    <row r="5" spans="1:9" ht="15.6" customHeight="1" thickTop="1" thickBot="1" x14ac:dyDescent="0.25">
      <c r="A5" s="5"/>
      <c r="B5" s="6"/>
      <c r="C5" s="6"/>
      <c r="D5" s="6"/>
      <c r="E5" s="6"/>
      <c r="F5" s="6"/>
      <c r="G5" s="6"/>
      <c r="H5" s="6"/>
      <c r="I5" s="6"/>
    </row>
    <row r="6" spans="1:9" ht="15" customHeight="1" thickBot="1" x14ac:dyDescent="0.3">
      <c r="A6" s="7" t="str">
        <f>CONCATENATE("Appliances","")</f>
        <v>Appliances</v>
      </c>
      <c r="B6" s="8" t="str">
        <f>CONCATENATE("Source","")</f>
        <v>Source</v>
      </c>
      <c r="C6" s="9" t="str">
        <f>CONCATENATE("Qty","")</f>
        <v>Qty</v>
      </c>
      <c r="D6" s="10" t="str">
        <f>CONCATENATE("Low","")</f>
        <v>Low</v>
      </c>
      <c r="E6" s="9" t="str">
        <f>CONCATENATE("Qty","")</f>
        <v>Qty</v>
      </c>
      <c r="F6" s="10" t="str">
        <f>CONCATENATE("Avg","")</f>
        <v>Avg</v>
      </c>
      <c r="G6" s="9" t="str">
        <f>CONCATENATE("Qty","")</f>
        <v>Qty</v>
      </c>
      <c r="H6" s="10" t="str">
        <f>CONCATENATE("High","")</f>
        <v>High</v>
      </c>
      <c r="I6" s="11" t="str">
        <f>CONCATENATE("Total","")</f>
        <v>Total</v>
      </c>
    </row>
    <row r="7" spans="1:9" ht="14.45" customHeight="1" x14ac:dyDescent="0.25">
      <c r="A7" s="12" t="str">
        <f>CONCATENATE("Air Conditioner","")</f>
        <v>Air Conditioner</v>
      </c>
      <c r="B7" s="13" t="s">
        <v>7</v>
      </c>
      <c r="C7" s="14"/>
      <c r="D7" s="15">
        <f>20+0</f>
        <v>20</v>
      </c>
      <c r="E7" s="16"/>
      <c r="F7" s="17">
        <f t="shared" ref="F7:F17" si="0">(D7+H7)/2</f>
        <v>55</v>
      </c>
      <c r="G7" s="18"/>
      <c r="H7" s="19">
        <f>90+0</f>
        <v>90</v>
      </c>
      <c r="I7" s="20">
        <f t="shared" ref="I7:I17" si="1">C7*D7+E7*F7+G7*H7</f>
        <v>0</v>
      </c>
    </row>
    <row r="8" spans="1:9" ht="14.45" customHeight="1" x14ac:dyDescent="0.25">
      <c r="A8" s="21" t="str">
        <f>CONCATENATE("Dryer","")</f>
        <v>Dryer</v>
      </c>
      <c r="B8" s="22" t="s">
        <v>7</v>
      </c>
      <c r="C8" s="23"/>
      <c r="D8" s="24">
        <f>45+0</f>
        <v>45</v>
      </c>
      <c r="E8" s="25"/>
      <c r="F8" s="26">
        <f t="shared" si="0"/>
        <v>67.5</v>
      </c>
      <c r="G8" s="27"/>
      <c r="H8" s="28">
        <f>90+0</f>
        <v>90</v>
      </c>
      <c r="I8" s="29">
        <f t="shared" si="1"/>
        <v>0</v>
      </c>
    </row>
    <row r="9" spans="1:9" ht="14.45" customHeight="1" x14ac:dyDescent="0.25">
      <c r="A9" s="21" t="str">
        <f>CONCATENATE("Electric Stove","")</f>
        <v>Electric Stove</v>
      </c>
      <c r="B9" s="22" t="s">
        <v>7</v>
      </c>
      <c r="C9" s="23"/>
      <c r="D9" s="24">
        <f>75+0</f>
        <v>75</v>
      </c>
      <c r="E9" s="30"/>
      <c r="F9" s="26">
        <f t="shared" si="0"/>
        <v>112.5</v>
      </c>
      <c r="G9" s="27"/>
      <c r="H9" s="28">
        <f>150+0</f>
        <v>150</v>
      </c>
      <c r="I9" s="29">
        <f t="shared" si="1"/>
        <v>0</v>
      </c>
    </row>
    <row r="10" spans="1:9" ht="14.45" customHeight="1" x14ac:dyDescent="0.25">
      <c r="A10" s="21" t="str">
        <f>CONCATENATE("Gas Stove","")</f>
        <v>Gas Stove</v>
      </c>
      <c r="B10" s="22" t="s">
        <v>7</v>
      </c>
      <c r="C10" s="23"/>
      <c r="D10" s="24">
        <f>50+0</f>
        <v>50</v>
      </c>
      <c r="E10" s="30"/>
      <c r="F10" s="26">
        <f t="shared" si="0"/>
        <v>87.5</v>
      </c>
      <c r="G10" s="27"/>
      <c r="H10" s="28">
        <f>125+0</f>
        <v>125</v>
      </c>
      <c r="I10" s="29">
        <f t="shared" si="1"/>
        <v>0</v>
      </c>
    </row>
    <row r="11" spans="1:9" ht="14.45" customHeight="1" x14ac:dyDescent="0.25">
      <c r="A11" s="21" t="str">
        <f>CONCATENATE("Heater","")</f>
        <v>Heater</v>
      </c>
      <c r="B11" s="22" t="s">
        <v>7</v>
      </c>
      <c r="C11" s="23"/>
      <c r="D11" s="24">
        <f>8+0</f>
        <v>8</v>
      </c>
      <c r="E11" s="30"/>
      <c r="F11" s="26">
        <f t="shared" si="0"/>
        <v>15</v>
      </c>
      <c r="G11" s="27"/>
      <c r="H11" s="28">
        <f>22+0</f>
        <v>22</v>
      </c>
      <c r="I11" s="29">
        <f t="shared" si="1"/>
        <v>0</v>
      </c>
    </row>
    <row r="12" spans="1:9" ht="14.45" customHeight="1" x14ac:dyDescent="0.25">
      <c r="A12" s="21" t="str">
        <f>CONCATENATE("Microwave","")</f>
        <v>Microwave</v>
      </c>
      <c r="B12" s="22" t="s">
        <v>7</v>
      </c>
      <c r="C12" s="23"/>
      <c r="D12" s="24">
        <f>10+0</f>
        <v>10</v>
      </c>
      <c r="E12" s="30"/>
      <c r="F12" s="26">
        <f t="shared" si="0"/>
        <v>30</v>
      </c>
      <c r="G12" s="27"/>
      <c r="H12" s="28">
        <f>50+0</f>
        <v>50</v>
      </c>
      <c r="I12" s="29">
        <f t="shared" si="1"/>
        <v>0</v>
      </c>
    </row>
    <row r="13" spans="1:9" ht="14.45" customHeight="1" x14ac:dyDescent="0.25">
      <c r="A13" s="21" t="str">
        <f>CONCATENATE("Radio","")</f>
        <v>Radio</v>
      </c>
      <c r="B13" s="22" t="s">
        <v>3</v>
      </c>
      <c r="C13" s="23"/>
      <c r="D13" s="24">
        <f>2+0</f>
        <v>2</v>
      </c>
      <c r="E13" s="30"/>
      <c r="F13" s="26">
        <f t="shared" si="0"/>
        <v>8.5</v>
      </c>
      <c r="G13" s="27"/>
      <c r="H13" s="28">
        <f>15+0</f>
        <v>15</v>
      </c>
      <c r="I13" s="29">
        <f t="shared" si="1"/>
        <v>0</v>
      </c>
    </row>
    <row r="14" spans="1:9" ht="14.45" customHeight="1" x14ac:dyDescent="0.25">
      <c r="A14" s="21" t="str">
        <f>CONCATENATE("Refridgerator-Working","")</f>
        <v>Refridgerator-Working</v>
      </c>
      <c r="B14" s="22" t="s">
        <v>7</v>
      </c>
      <c r="C14" s="23"/>
      <c r="D14" s="24">
        <f>75+0</f>
        <v>75</v>
      </c>
      <c r="E14" s="30"/>
      <c r="F14" s="26">
        <f t="shared" si="0"/>
        <v>162.5</v>
      </c>
      <c r="G14" s="27"/>
      <c r="H14" s="28">
        <f>250+0</f>
        <v>250</v>
      </c>
      <c r="I14" s="29">
        <f t="shared" si="1"/>
        <v>0</v>
      </c>
    </row>
    <row r="15" spans="1:9" ht="14.45" customHeight="1" x14ac:dyDescent="0.25">
      <c r="A15" s="21" t="str">
        <f>CONCATENATE("TV Color-Working","")</f>
        <v>TV Color-Working</v>
      </c>
      <c r="B15" s="22" t="s">
        <v>7</v>
      </c>
      <c r="C15" s="23"/>
      <c r="D15" s="24">
        <f>75+0</f>
        <v>75</v>
      </c>
      <c r="E15" s="30"/>
      <c r="F15" s="26">
        <f t="shared" si="0"/>
        <v>150</v>
      </c>
      <c r="G15" s="27"/>
      <c r="H15" s="28">
        <f>225+0</f>
        <v>225</v>
      </c>
      <c r="I15" s="29">
        <f t="shared" si="1"/>
        <v>0</v>
      </c>
    </row>
    <row r="16" spans="1:9" ht="14.45" customHeight="1" x14ac:dyDescent="0.25">
      <c r="A16" s="21" t="str">
        <f>CONCATENATE("VCR-DVD player","")</f>
        <v>VCR-DVD player</v>
      </c>
      <c r="B16" s="22" t="s">
        <v>3</v>
      </c>
      <c r="C16" s="23"/>
      <c r="D16" s="24">
        <f>8+0</f>
        <v>8</v>
      </c>
      <c r="E16" s="30"/>
      <c r="F16" s="26">
        <f t="shared" si="0"/>
        <v>11.5</v>
      </c>
      <c r="G16" s="27"/>
      <c r="H16" s="28">
        <f>15+0</f>
        <v>15</v>
      </c>
      <c r="I16" s="29">
        <f t="shared" si="1"/>
        <v>0</v>
      </c>
    </row>
    <row r="17" spans="1:9" ht="14.45" customHeight="1" x14ac:dyDescent="0.25">
      <c r="A17" s="21" t="str">
        <f>CONCATENATE("Washing Machine","")</f>
        <v>Washing Machine</v>
      </c>
      <c r="B17" s="22" t="s">
        <v>7</v>
      </c>
      <c r="C17" s="23"/>
      <c r="D17" s="24">
        <f>40+0</f>
        <v>40</v>
      </c>
      <c r="E17" s="30"/>
      <c r="F17" s="26">
        <f t="shared" si="0"/>
        <v>95</v>
      </c>
      <c r="G17" s="27"/>
      <c r="H17" s="28">
        <f>150+0</f>
        <v>150</v>
      </c>
      <c r="I17" s="29">
        <f t="shared" si="1"/>
        <v>0</v>
      </c>
    </row>
    <row r="18" spans="1:9" ht="15" customHeight="1" thickBot="1" x14ac:dyDescent="0.3">
      <c r="E18" s="1" t="s">
        <v>2</v>
      </c>
    </row>
    <row r="19" spans="1:9" ht="15" customHeight="1" thickBot="1" x14ac:dyDescent="0.3">
      <c r="A19" s="7" t="str">
        <f>CONCATENATE("Childrens","")</f>
        <v>Childrens</v>
      </c>
      <c r="B19" s="31" t="str">
        <f>$B$6</f>
        <v>Source</v>
      </c>
      <c r="C19" s="32" t="str">
        <f>$C$6</f>
        <v>Qty</v>
      </c>
      <c r="D19" s="33" t="str">
        <f>$D$6</f>
        <v>Low</v>
      </c>
      <c r="E19" s="32" t="str">
        <f>$E$6</f>
        <v>Qty</v>
      </c>
      <c r="F19" s="33" t="str">
        <f>$F$6</f>
        <v>Avg</v>
      </c>
      <c r="G19" s="32" t="str">
        <f>$G$6</f>
        <v>Qty</v>
      </c>
      <c r="H19" s="33" t="str">
        <f>$H$6</f>
        <v>High</v>
      </c>
      <c r="I19" s="34" t="str">
        <f>$I$6</f>
        <v>Total</v>
      </c>
    </row>
    <row r="20" spans="1:9" ht="14.45" customHeight="1" x14ac:dyDescent="0.25">
      <c r="A20" s="12" t="str">
        <f>CONCATENATE("Belts-Leather","")</f>
        <v>Belts-Leather</v>
      </c>
      <c r="B20" s="13" t="s">
        <v>3</v>
      </c>
      <c r="C20" s="14"/>
      <c r="D20" s="15">
        <f>3+0</f>
        <v>3</v>
      </c>
      <c r="E20" s="14"/>
      <c r="F20" s="15">
        <f t="shared" ref="F20:F44" si="2">(D20+H20)/2</f>
        <v>6</v>
      </c>
      <c r="G20" s="18"/>
      <c r="H20" s="15">
        <f>9+0</f>
        <v>9</v>
      </c>
      <c r="I20" s="20">
        <f t="shared" ref="I20:I44" si="3">C20*D20+E20*F20+G20*H20</f>
        <v>0</v>
      </c>
    </row>
    <row r="21" spans="1:9" ht="14.45" customHeight="1" x14ac:dyDescent="0.25">
      <c r="A21" s="21" t="str">
        <f>CONCATENATE("Belts - Other","")</f>
        <v>Belts - Other</v>
      </c>
      <c r="B21" s="22" t="s">
        <v>3</v>
      </c>
      <c r="C21" s="23"/>
      <c r="D21" s="24">
        <f>1+0</f>
        <v>1</v>
      </c>
      <c r="E21" s="23"/>
      <c r="F21" s="24">
        <f t="shared" si="2"/>
        <v>1.5</v>
      </c>
      <c r="G21" s="27"/>
      <c r="H21" s="24">
        <f>2+0</f>
        <v>2</v>
      </c>
      <c r="I21" s="29">
        <f t="shared" si="3"/>
        <v>0</v>
      </c>
    </row>
    <row r="22" spans="1:9" ht="14.45" customHeight="1" x14ac:dyDescent="0.25">
      <c r="A22" s="21" t="str">
        <f>CONCATENATE("Blazer","")</f>
        <v>Blazer</v>
      </c>
      <c r="B22" s="22" t="s">
        <v>3</v>
      </c>
      <c r="C22" s="23"/>
      <c r="D22" s="24">
        <f>2+0</f>
        <v>2</v>
      </c>
      <c r="E22" s="23"/>
      <c r="F22" s="24">
        <f t="shared" si="2"/>
        <v>4</v>
      </c>
      <c r="G22" s="27"/>
      <c r="H22" s="24">
        <f>6+0</f>
        <v>6</v>
      </c>
      <c r="I22" s="29">
        <f t="shared" si="3"/>
        <v>0</v>
      </c>
    </row>
    <row r="23" spans="1:9" ht="14.45" customHeight="1" x14ac:dyDescent="0.25">
      <c r="A23" s="21" t="str">
        <f>CONCATENATE("Blouses/Shirts","")</f>
        <v>Blouses/Shirts</v>
      </c>
      <c r="B23" s="22" t="s">
        <v>3</v>
      </c>
      <c r="C23" s="23"/>
      <c r="D23" s="24">
        <f>1+0</f>
        <v>1</v>
      </c>
      <c r="E23" s="23"/>
      <c r="F23" s="24">
        <f t="shared" si="2"/>
        <v>3.5</v>
      </c>
      <c r="G23" s="27"/>
      <c r="H23" s="24">
        <v>6</v>
      </c>
      <c r="I23" s="29">
        <f t="shared" si="3"/>
        <v>0</v>
      </c>
    </row>
    <row r="24" spans="1:9" ht="14.45" customHeight="1" x14ac:dyDescent="0.25">
      <c r="A24" s="21" t="str">
        <f>CONCATENATE("Boots-ankle","")</f>
        <v>Boots-ankle</v>
      </c>
      <c r="B24" s="22" t="s">
        <v>3</v>
      </c>
      <c r="C24" s="23"/>
      <c r="D24" s="24">
        <f>2+0</f>
        <v>2</v>
      </c>
      <c r="E24" s="23"/>
      <c r="F24" s="24">
        <f t="shared" si="2"/>
        <v>4</v>
      </c>
      <c r="G24" s="27"/>
      <c r="H24" s="24">
        <f>6+0</f>
        <v>6</v>
      </c>
      <c r="I24" s="29">
        <f t="shared" si="3"/>
        <v>0</v>
      </c>
    </row>
    <row r="25" spans="1:9" ht="14.45" customHeight="1" x14ac:dyDescent="0.25">
      <c r="A25" s="21" t="str">
        <f>CONCATENATE("Coats","")</f>
        <v>Coats</v>
      </c>
      <c r="B25" s="22" t="s">
        <v>3</v>
      </c>
      <c r="C25" s="23"/>
      <c r="D25" s="24">
        <f>3+0</f>
        <v>3</v>
      </c>
      <c r="E25" s="23"/>
      <c r="F25" s="24">
        <f t="shared" si="2"/>
        <v>9</v>
      </c>
      <c r="G25" s="27"/>
      <c r="H25" s="24">
        <f>15+0</f>
        <v>15</v>
      </c>
      <c r="I25" s="29">
        <f t="shared" si="3"/>
        <v>0</v>
      </c>
    </row>
    <row r="26" spans="1:9" ht="14.45" customHeight="1" x14ac:dyDescent="0.25">
      <c r="A26" s="21" t="str">
        <f>CONCATENATE("Dresses","")</f>
        <v>Dresses</v>
      </c>
      <c r="B26" s="22" t="s">
        <v>3</v>
      </c>
      <c r="C26" s="23"/>
      <c r="D26" s="24">
        <f>2+0</f>
        <v>2</v>
      </c>
      <c r="E26" s="23"/>
      <c r="F26" s="24">
        <f t="shared" si="2"/>
        <v>4</v>
      </c>
      <c r="G26" s="27"/>
      <c r="H26" s="24">
        <f>6+0</f>
        <v>6</v>
      </c>
      <c r="I26" s="29">
        <f t="shared" si="3"/>
        <v>0</v>
      </c>
    </row>
    <row r="27" spans="1:9" ht="14.45" customHeight="1" x14ac:dyDescent="0.25">
      <c r="A27" s="21" t="str">
        <f>CONCATENATE("Jeans","")</f>
        <v>Jeans</v>
      </c>
      <c r="B27" s="22" t="s">
        <v>3</v>
      </c>
      <c r="C27" s="23"/>
      <c r="D27" s="24">
        <f>2+0</f>
        <v>2</v>
      </c>
      <c r="E27" s="23"/>
      <c r="F27" s="24">
        <f t="shared" si="2"/>
        <v>6</v>
      </c>
      <c r="G27" s="27"/>
      <c r="H27" s="24">
        <f>10+0</f>
        <v>10</v>
      </c>
      <c r="I27" s="29">
        <f t="shared" si="3"/>
        <v>0</v>
      </c>
    </row>
    <row r="28" spans="1:9" ht="14.45" customHeight="1" x14ac:dyDescent="0.25">
      <c r="A28" s="21" t="str">
        <f>CONCATENATE("Nightgown","")</f>
        <v>Nightgown</v>
      </c>
      <c r="B28" s="22" t="s">
        <v>3</v>
      </c>
      <c r="C28" s="23"/>
      <c r="D28" s="24">
        <f>1+0</f>
        <v>1</v>
      </c>
      <c r="E28" s="23"/>
      <c r="F28" s="24">
        <f t="shared" si="2"/>
        <v>3.5</v>
      </c>
      <c r="G28" s="27"/>
      <c r="H28" s="24">
        <f t="shared" ref="H28:H34" si="4">6+0</f>
        <v>6</v>
      </c>
      <c r="I28" s="29">
        <f t="shared" si="3"/>
        <v>0</v>
      </c>
    </row>
    <row r="29" spans="1:9" ht="14.45" customHeight="1" x14ac:dyDescent="0.25">
      <c r="A29" s="21" t="str">
        <f>CONCATENATE("Pajamas","")</f>
        <v>Pajamas</v>
      </c>
      <c r="B29" s="22" t="s">
        <v>3</v>
      </c>
      <c r="C29" s="23"/>
      <c r="D29" s="24">
        <f>1+0</f>
        <v>1</v>
      </c>
      <c r="E29" s="23"/>
      <c r="F29" s="24">
        <f t="shared" si="2"/>
        <v>3.5</v>
      </c>
      <c r="G29" s="27"/>
      <c r="H29" s="24">
        <f t="shared" si="4"/>
        <v>6</v>
      </c>
      <c r="I29" s="29">
        <f t="shared" si="3"/>
        <v>0</v>
      </c>
    </row>
    <row r="30" spans="1:9" ht="14.45" customHeight="1" x14ac:dyDescent="0.25">
      <c r="A30" s="21" t="str">
        <f>CONCATENATE("Pants-casual","")</f>
        <v>Pants-casual</v>
      </c>
      <c r="B30" s="22" t="s">
        <v>3</v>
      </c>
      <c r="C30" s="23"/>
      <c r="D30" s="24">
        <f>1+0</f>
        <v>1</v>
      </c>
      <c r="E30" s="23"/>
      <c r="F30" s="24">
        <f t="shared" si="2"/>
        <v>3.5</v>
      </c>
      <c r="G30" s="27"/>
      <c r="H30" s="24">
        <f t="shared" si="4"/>
        <v>6</v>
      </c>
      <c r="I30" s="29">
        <f t="shared" si="3"/>
        <v>0</v>
      </c>
    </row>
    <row r="31" spans="1:9" ht="14.45" customHeight="1" x14ac:dyDescent="0.25">
      <c r="A31" s="21" t="str">
        <f>CONCATENATE("Pants-dress","")</f>
        <v>Pants-dress</v>
      </c>
      <c r="B31" s="22" t="s">
        <v>3</v>
      </c>
      <c r="C31" s="23"/>
      <c r="D31" s="24">
        <f>1+0</f>
        <v>1</v>
      </c>
      <c r="E31" s="23"/>
      <c r="F31" s="24">
        <f t="shared" si="2"/>
        <v>3.5</v>
      </c>
      <c r="G31" s="27"/>
      <c r="H31" s="24">
        <f t="shared" si="4"/>
        <v>6</v>
      </c>
      <c r="I31" s="29">
        <f t="shared" si="3"/>
        <v>0</v>
      </c>
    </row>
    <row r="32" spans="1:9" ht="14.45" customHeight="1" x14ac:dyDescent="0.25">
      <c r="A32" s="21" t="str">
        <f>CONCATENATE("Robe","")</f>
        <v>Robe</v>
      </c>
      <c r="B32" s="22" t="s">
        <v>3</v>
      </c>
      <c r="C32" s="23"/>
      <c r="D32" s="24">
        <f>1+0</f>
        <v>1</v>
      </c>
      <c r="E32" s="23"/>
      <c r="F32" s="24">
        <f t="shared" si="2"/>
        <v>3.5</v>
      </c>
      <c r="G32" s="27"/>
      <c r="H32" s="24">
        <f t="shared" si="4"/>
        <v>6</v>
      </c>
      <c r="I32" s="29">
        <f t="shared" si="3"/>
        <v>0</v>
      </c>
    </row>
    <row r="33" spans="1:9" ht="14.45" customHeight="1" x14ac:dyDescent="0.25">
      <c r="A33" s="21" t="str">
        <f>CONCATENATE("Sandals-slippers","")</f>
        <v>Sandals-slippers</v>
      </c>
      <c r="B33" s="22" t="s">
        <v>3</v>
      </c>
      <c r="C33" s="23"/>
      <c r="D33" s="24">
        <f>2+0</f>
        <v>2</v>
      </c>
      <c r="E33" s="23"/>
      <c r="F33" s="24">
        <f t="shared" si="2"/>
        <v>4</v>
      </c>
      <c r="G33" s="27"/>
      <c r="H33" s="24">
        <f t="shared" si="4"/>
        <v>6</v>
      </c>
      <c r="I33" s="29">
        <f t="shared" si="3"/>
        <v>0</v>
      </c>
    </row>
    <row r="34" spans="1:9" ht="14.45" customHeight="1" x14ac:dyDescent="0.25">
      <c r="A34" s="21" t="str">
        <f>CONCATENATE("Shoes-tennis","")</f>
        <v>Shoes-tennis</v>
      </c>
      <c r="B34" s="22" t="s">
        <v>3</v>
      </c>
      <c r="C34" s="23"/>
      <c r="D34" s="24">
        <f>2+0</f>
        <v>2</v>
      </c>
      <c r="E34" s="23"/>
      <c r="F34" s="24">
        <f t="shared" si="2"/>
        <v>4</v>
      </c>
      <c r="G34" s="27"/>
      <c r="H34" s="24">
        <f t="shared" si="4"/>
        <v>6</v>
      </c>
      <c r="I34" s="29">
        <f t="shared" si="3"/>
        <v>0</v>
      </c>
    </row>
    <row r="35" spans="1:9" ht="14.45" customHeight="1" x14ac:dyDescent="0.25">
      <c r="A35" s="21" t="str">
        <f>CONCATENATE("Shorts","")</f>
        <v>Shorts</v>
      </c>
      <c r="B35" s="22" t="s">
        <v>3</v>
      </c>
      <c r="C35" s="23"/>
      <c r="D35" s="24">
        <f>1+0</f>
        <v>1</v>
      </c>
      <c r="E35" s="23"/>
      <c r="F35" s="24">
        <f t="shared" si="2"/>
        <v>5</v>
      </c>
      <c r="G35" s="27"/>
      <c r="H35" s="24">
        <f>9+0</f>
        <v>9</v>
      </c>
      <c r="I35" s="29">
        <f t="shared" si="3"/>
        <v>0</v>
      </c>
    </row>
    <row r="36" spans="1:9" ht="14.45" customHeight="1" x14ac:dyDescent="0.25">
      <c r="A36" s="21" t="str">
        <f>CONCATENATE("Skirts","")</f>
        <v>Skirts</v>
      </c>
      <c r="B36" s="22" t="s">
        <v>3</v>
      </c>
      <c r="C36" s="23"/>
      <c r="D36" s="24">
        <f>1+0</f>
        <v>1</v>
      </c>
      <c r="E36" s="23"/>
      <c r="F36" s="24">
        <f t="shared" si="2"/>
        <v>3.5</v>
      </c>
      <c r="G36" s="27"/>
      <c r="H36" s="24">
        <f t="shared" ref="H36:H41" si="5">6+0</f>
        <v>6</v>
      </c>
      <c r="I36" s="29">
        <f t="shared" si="3"/>
        <v>0</v>
      </c>
    </row>
    <row r="37" spans="1:9" ht="14.45" customHeight="1" x14ac:dyDescent="0.25">
      <c r="A37" s="21" t="str">
        <f>CONCATENATE("Sport coats","")</f>
        <v>Sport coats</v>
      </c>
      <c r="B37" s="22" t="s">
        <v>3</v>
      </c>
      <c r="C37" s="23"/>
      <c r="D37" s="24">
        <f>2+0</f>
        <v>2</v>
      </c>
      <c r="E37" s="23"/>
      <c r="F37" s="24">
        <f t="shared" si="2"/>
        <v>4</v>
      </c>
      <c r="G37" s="27"/>
      <c r="H37" s="24">
        <f t="shared" si="5"/>
        <v>6</v>
      </c>
      <c r="I37" s="29">
        <f t="shared" si="3"/>
        <v>0</v>
      </c>
    </row>
    <row r="38" spans="1:9" ht="14.45" customHeight="1" x14ac:dyDescent="0.25">
      <c r="A38" s="21" t="str">
        <f>CONCATENATE("Sweaters","")</f>
        <v>Sweaters</v>
      </c>
      <c r="B38" s="22" t="s">
        <v>3</v>
      </c>
      <c r="C38" s="23"/>
      <c r="D38" s="24">
        <f>1+0</f>
        <v>1</v>
      </c>
      <c r="E38" s="23"/>
      <c r="F38" s="24">
        <f t="shared" si="2"/>
        <v>3.5</v>
      </c>
      <c r="G38" s="27"/>
      <c r="H38" s="24">
        <f t="shared" si="5"/>
        <v>6</v>
      </c>
      <c r="I38" s="29">
        <f t="shared" si="3"/>
        <v>0</v>
      </c>
    </row>
    <row r="39" spans="1:9" ht="14.45" customHeight="1" x14ac:dyDescent="0.25">
      <c r="A39" s="21" t="str">
        <f>CONCATENATE("Sweats-bottom","")</f>
        <v>Sweats-bottom</v>
      </c>
      <c r="B39" s="22" t="s">
        <v>3</v>
      </c>
      <c r="C39" s="23"/>
      <c r="D39" s="24">
        <f>1+0</f>
        <v>1</v>
      </c>
      <c r="E39" s="23"/>
      <c r="F39" s="24">
        <f t="shared" si="2"/>
        <v>3.5</v>
      </c>
      <c r="G39" s="27"/>
      <c r="H39" s="24">
        <f t="shared" si="5"/>
        <v>6</v>
      </c>
      <c r="I39" s="29">
        <f t="shared" si="3"/>
        <v>0</v>
      </c>
    </row>
    <row r="40" spans="1:9" ht="14.45" customHeight="1" x14ac:dyDescent="0.25">
      <c r="A40" s="21" t="str">
        <f>CONCATENATE("Sweats-top","")</f>
        <v>Sweats-top</v>
      </c>
      <c r="B40" s="22" t="s">
        <v>3</v>
      </c>
      <c r="C40" s="23"/>
      <c r="D40" s="24">
        <v>1</v>
      </c>
      <c r="E40" s="23"/>
      <c r="F40" s="24">
        <f t="shared" si="2"/>
        <v>3.5</v>
      </c>
      <c r="G40" s="27"/>
      <c r="H40" s="24">
        <f t="shared" si="5"/>
        <v>6</v>
      </c>
      <c r="I40" s="29">
        <f t="shared" si="3"/>
        <v>0</v>
      </c>
    </row>
    <row r="41" spans="1:9" ht="14.45" customHeight="1" x14ac:dyDescent="0.25">
      <c r="A41" s="21" t="str">
        <f>CONCATENATE("Swimwear","")</f>
        <v>Swimwear</v>
      </c>
      <c r="B41" s="22" t="s">
        <v>3</v>
      </c>
      <c r="C41" s="23"/>
      <c r="D41" s="24">
        <f>1+0</f>
        <v>1</v>
      </c>
      <c r="E41" s="23"/>
      <c r="F41" s="24">
        <f t="shared" si="2"/>
        <v>3.5</v>
      </c>
      <c r="G41" s="27"/>
      <c r="H41" s="24">
        <f t="shared" si="5"/>
        <v>6</v>
      </c>
      <c r="I41" s="29">
        <f t="shared" si="3"/>
        <v>0</v>
      </c>
    </row>
    <row r="42" spans="1:9" ht="14.45" customHeight="1" x14ac:dyDescent="0.25">
      <c r="A42" s="21" t="str">
        <f>CONCATENATE("Tanks","")</f>
        <v>Tanks</v>
      </c>
      <c r="B42" s="22" t="s">
        <v>3</v>
      </c>
      <c r="C42" s="23"/>
      <c r="D42" s="24">
        <f>1+0</f>
        <v>1</v>
      </c>
      <c r="E42" s="23"/>
      <c r="F42" s="24">
        <f t="shared" si="2"/>
        <v>2</v>
      </c>
      <c r="G42" s="27"/>
      <c r="H42" s="24">
        <f>3+0</f>
        <v>3</v>
      </c>
      <c r="I42" s="29">
        <f t="shared" si="3"/>
        <v>0</v>
      </c>
    </row>
    <row r="43" spans="1:9" ht="14.45" customHeight="1" x14ac:dyDescent="0.25">
      <c r="A43" s="21" t="str">
        <f>CONCATENATE("T-shirts","")</f>
        <v>T-shirts</v>
      </c>
      <c r="B43" s="22" t="s">
        <v>3</v>
      </c>
      <c r="C43" s="23"/>
      <c r="D43" s="24">
        <f>1+0</f>
        <v>1</v>
      </c>
      <c r="E43" s="23"/>
      <c r="F43" s="24">
        <f t="shared" si="2"/>
        <v>2</v>
      </c>
      <c r="G43" s="27"/>
      <c r="H43" s="24">
        <f>3+0</f>
        <v>3</v>
      </c>
      <c r="I43" s="29">
        <f t="shared" si="3"/>
        <v>0</v>
      </c>
    </row>
    <row r="44" spans="1:9" ht="14.45" customHeight="1" x14ac:dyDescent="0.25">
      <c r="A44" s="21" t="str">
        <f>CONCATENATE("Vests","")</f>
        <v>Vests</v>
      </c>
      <c r="B44" s="22" t="s">
        <v>3</v>
      </c>
      <c r="C44" s="23"/>
      <c r="D44" s="24">
        <f>1+0</f>
        <v>1</v>
      </c>
      <c r="E44" s="23"/>
      <c r="F44" s="24">
        <f t="shared" si="2"/>
        <v>2</v>
      </c>
      <c r="G44" s="27"/>
      <c r="H44" s="24">
        <f>3+0</f>
        <v>3</v>
      </c>
      <c r="I44" s="29">
        <f t="shared" si="3"/>
        <v>0</v>
      </c>
    </row>
    <row r="45" spans="1:9" ht="14.45" customHeight="1" x14ac:dyDescent="0.25">
      <c r="A45" s="35"/>
      <c r="B45" s="36"/>
      <c r="C45" s="36"/>
    </row>
    <row r="46" spans="1:9" ht="15" customHeight="1" thickBot="1" x14ac:dyDescent="0.3">
      <c r="A46" s="35"/>
      <c r="B46" s="36"/>
      <c r="C46" s="36"/>
    </row>
    <row r="47" spans="1:9" ht="15" customHeight="1" thickBot="1" x14ac:dyDescent="0.3">
      <c r="A47" s="7" t="str">
        <f>CONCATENATE("Furniture","")</f>
        <v>Furniture</v>
      </c>
      <c r="B47" s="31" t="str">
        <f>$B$6</f>
        <v>Source</v>
      </c>
      <c r="C47" s="32" t="str">
        <f>$C$6</f>
        <v>Qty</v>
      </c>
      <c r="D47" s="33" t="str">
        <f>$D$6</f>
        <v>Low</v>
      </c>
      <c r="E47" s="32" t="str">
        <f>$E$6</f>
        <v>Qty</v>
      </c>
      <c r="F47" s="33" t="str">
        <f>$F$6</f>
        <v>Avg</v>
      </c>
      <c r="G47" s="32" t="str">
        <f>$G$6</f>
        <v>Qty</v>
      </c>
      <c r="H47" s="33" t="str">
        <f>$H$6</f>
        <v>High</v>
      </c>
      <c r="I47" s="34" t="str">
        <f>$I$6</f>
        <v>Total</v>
      </c>
    </row>
    <row r="48" spans="1:9" ht="14.45" customHeight="1" x14ac:dyDescent="0.25">
      <c r="A48" s="12" t="str">
        <f>CONCATENATE("Bed-full-queen-king","")</f>
        <v>Bed-full-queen-king</v>
      </c>
      <c r="B48" s="13" t="s">
        <v>7</v>
      </c>
      <c r="C48" s="14"/>
      <c r="D48" s="15">
        <f>50+0</f>
        <v>50</v>
      </c>
      <c r="E48" s="25"/>
      <c r="F48" s="17">
        <f t="shared" ref="F48:F78" si="6">(D48+H48)/2</f>
        <v>110</v>
      </c>
      <c r="G48" s="37"/>
      <c r="H48" s="15">
        <f>170+0</f>
        <v>170</v>
      </c>
      <c r="I48" s="20">
        <f t="shared" ref="I48:I78" si="7">C48*D48+E48*F48+G48*H48</f>
        <v>0</v>
      </c>
    </row>
    <row r="49" spans="1:9" ht="14.45" customHeight="1" x14ac:dyDescent="0.25">
      <c r="A49" s="21" t="str">
        <f>CONCATENATE("Bedroom set-complete","")</f>
        <v>Bedroom set-complete</v>
      </c>
      <c r="B49" s="22" t="s">
        <v>7</v>
      </c>
      <c r="C49" s="23"/>
      <c r="D49" s="24">
        <f>250+0</f>
        <v>250</v>
      </c>
      <c r="E49" s="30"/>
      <c r="F49" s="26">
        <f t="shared" si="6"/>
        <v>624.5</v>
      </c>
      <c r="G49" s="38"/>
      <c r="H49" s="24">
        <f>999+0</f>
        <v>999</v>
      </c>
      <c r="I49" s="29">
        <f t="shared" si="7"/>
        <v>0</v>
      </c>
    </row>
    <row r="50" spans="1:9" ht="14.45" customHeight="1" x14ac:dyDescent="0.25">
      <c r="A50" s="21" t="str">
        <f>CONCATENATE("Bed-single","")</f>
        <v>Bed-single</v>
      </c>
      <c r="B50" s="22" t="s">
        <v>7</v>
      </c>
      <c r="C50" s="23"/>
      <c r="D50" s="24">
        <f>35+0</f>
        <v>35</v>
      </c>
      <c r="E50" s="30"/>
      <c r="F50" s="26">
        <f t="shared" si="6"/>
        <v>67.5</v>
      </c>
      <c r="G50" s="38"/>
      <c r="H50" s="24">
        <f>100+0</f>
        <v>100</v>
      </c>
      <c r="I50" s="29">
        <f t="shared" si="7"/>
        <v>0</v>
      </c>
    </row>
    <row r="51" spans="1:9" ht="14.45" customHeight="1" x14ac:dyDescent="0.25">
      <c r="A51" s="21" t="str">
        <f>CONCATENATE("Chair-upholstered","")</f>
        <v>Chair-upholstered</v>
      </c>
      <c r="B51" s="22" t="s">
        <v>7</v>
      </c>
      <c r="C51" s="23"/>
      <c r="D51" s="24">
        <f>25+0</f>
        <v>25</v>
      </c>
      <c r="E51" s="30"/>
      <c r="F51" s="26">
        <f t="shared" si="6"/>
        <v>62.5</v>
      </c>
      <c r="G51" s="38"/>
      <c r="H51" s="24">
        <f>100+0</f>
        <v>100</v>
      </c>
      <c r="I51" s="29">
        <f t="shared" si="7"/>
        <v>0</v>
      </c>
    </row>
    <row r="52" spans="1:9" ht="14.45" customHeight="1" x14ac:dyDescent="0.25">
      <c r="A52" s="21" t="str">
        <f>CONCATENATE("Chest","")</f>
        <v>Chest</v>
      </c>
      <c r="B52" s="22" t="s">
        <v>7</v>
      </c>
      <c r="C52" s="23"/>
      <c r="D52" s="24">
        <f>25+0</f>
        <v>25</v>
      </c>
      <c r="E52" s="30"/>
      <c r="F52" s="26">
        <f t="shared" si="6"/>
        <v>60</v>
      </c>
      <c r="G52" s="38"/>
      <c r="H52" s="24">
        <f>95+0</f>
        <v>95</v>
      </c>
      <c r="I52" s="29">
        <f t="shared" si="7"/>
        <v>0</v>
      </c>
    </row>
    <row r="53" spans="1:9" ht="14.45" customHeight="1" x14ac:dyDescent="0.25">
      <c r="A53" s="21" t="str">
        <f>CONCATENATE("China cabinet","")</f>
        <v>China cabinet</v>
      </c>
      <c r="B53" s="22" t="s">
        <v>7</v>
      </c>
      <c r="C53" s="23"/>
      <c r="D53" s="24">
        <f>85+0</f>
        <v>85</v>
      </c>
      <c r="E53" s="30"/>
      <c r="F53" s="26">
        <f t="shared" si="6"/>
        <v>192.5</v>
      </c>
      <c r="G53" s="38"/>
      <c r="H53" s="24">
        <f>300+0</f>
        <v>300</v>
      </c>
      <c r="I53" s="29">
        <f t="shared" si="7"/>
        <v>0</v>
      </c>
    </row>
    <row r="54" spans="1:9" ht="14.45" customHeight="1" x14ac:dyDescent="0.25">
      <c r="A54" s="21" t="str">
        <f>CONCATENATE("Clothes closet","")</f>
        <v>Clothes closet</v>
      </c>
      <c r="B54" s="22" t="s">
        <v>7</v>
      </c>
      <c r="C54" s="23"/>
      <c r="D54" s="24">
        <f>15+0</f>
        <v>15</v>
      </c>
      <c r="E54" s="30"/>
      <c r="F54" s="26">
        <f t="shared" si="6"/>
        <v>32.5</v>
      </c>
      <c r="G54" s="38"/>
      <c r="H54" s="24">
        <f>50+0</f>
        <v>50</v>
      </c>
      <c r="I54" s="29">
        <f t="shared" si="7"/>
        <v>0</v>
      </c>
    </row>
    <row r="55" spans="1:9" ht="14.45" customHeight="1" x14ac:dyDescent="0.25">
      <c r="A55" s="21" t="str">
        <f>CONCATENATE("Coffee table","")</f>
        <v>Coffee table</v>
      </c>
      <c r="B55" s="22" t="s">
        <v>7</v>
      </c>
      <c r="C55" s="23"/>
      <c r="D55" s="24">
        <f>15+0</f>
        <v>15</v>
      </c>
      <c r="E55" s="30"/>
      <c r="F55" s="26">
        <f t="shared" si="6"/>
        <v>40</v>
      </c>
      <c r="G55" s="38"/>
      <c r="H55" s="24">
        <f>65+0</f>
        <v>65</v>
      </c>
      <c r="I55" s="29">
        <f t="shared" si="7"/>
        <v>0</v>
      </c>
    </row>
    <row r="56" spans="1:9" ht="14.45" customHeight="1" x14ac:dyDescent="0.25">
      <c r="A56" s="21" t="str">
        <f>CONCATENATE("Crib with mattress","")</f>
        <v>Crib with mattress</v>
      </c>
      <c r="B56" s="22" t="s">
        <v>7</v>
      </c>
      <c r="C56" s="23"/>
      <c r="D56" s="24">
        <f>25+0</f>
        <v>25</v>
      </c>
      <c r="E56" s="30"/>
      <c r="F56" s="26">
        <f t="shared" si="6"/>
        <v>62.5</v>
      </c>
      <c r="G56" s="38"/>
      <c r="H56" s="24">
        <f>100+0</f>
        <v>100</v>
      </c>
      <c r="I56" s="29">
        <f t="shared" si="7"/>
        <v>0</v>
      </c>
    </row>
    <row r="57" spans="1:9" ht="14.45" customHeight="1" x14ac:dyDescent="0.25">
      <c r="A57" s="21" t="str">
        <f>CONCATENATE("Desk","")</f>
        <v>Desk</v>
      </c>
      <c r="B57" s="22" t="s">
        <v>7</v>
      </c>
      <c r="C57" s="23"/>
      <c r="D57" s="24">
        <f>25+0</f>
        <v>25</v>
      </c>
      <c r="E57" s="30"/>
      <c r="F57" s="26">
        <f t="shared" si="6"/>
        <v>82.5</v>
      </c>
      <c r="G57" s="38"/>
      <c r="H57" s="24">
        <f>140+0</f>
        <v>140</v>
      </c>
      <c r="I57" s="29">
        <f t="shared" si="7"/>
        <v>0</v>
      </c>
    </row>
    <row r="58" spans="1:9" ht="14.45" customHeight="1" x14ac:dyDescent="0.25">
      <c r="A58" s="21" t="str">
        <f>CONCATENATE("Dining room set-complete","")</f>
        <v>Dining room set-complete</v>
      </c>
      <c r="B58" s="22" t="s">
        <v>7</v>
      </c>
      <c r="C58" s="23"/>
      <c r="D58" s="24">
        <f>150+0</f>
        <v>150</v>
      </c>
      <c r="E58" s="30"/>
      <c r="F58" s="26">
        <f t="shared" si="6"/>
        <v>525</v>
      </c>
      <c r="G58" s="38"/>
      <c r="H58" s="24">
        <f>900+0</f>
        <v>900</v>
      </c>
      <c r="I58" s="29">
        <f t="shared" si="7"/>
        <v>0</v>
      </c>
    </row>
    <row r="59" spans="1:9" ht="14.45" customHeight="1" x14ac:dyDescent="0.25">
      <c r="A59" s="21" t="str">
        <f>CONCATENATE("Dresser w/mirror","")</f>
        <v>Dresser w/mirror</v>
      </c>
      <c r="B59" s="22" t="s">
        <v>7</v>
      </c>
      <c r="C59" s="23"/>
      <c r="D59" s="24">
        <f>20+0</f>
        <v>20</v>
      </c>
      <c r="E59" s="30"/>
      <c r="F59" s="26">
        <f t="shared" si="6"/>
        <v>60</v>
      </c>
      <c r="G59" s="38"/>
      <c r="H59" s="24">
        <f>100+0</f>
        <v>100</v>
      </c>
      <c r="I59" s="29">
        <f t="shared" si="7"/>
        <v>0</v>
      </c>
    </row>
    <row r="60" spans="1:9" ht="14.45" customHeight="1" x14ac:dyDescent="0.25">
      <c r="A60" s="21" t="str">
        <f>CONCATENATE("End table","")</f>
        <v>End table</v>
      </c>
      <c r="B60" s="22" t="s">
        <v>7</v>
      </c>
      <c r="C60" s="23"/>
      <c r="D60" s="24">
        <f>10+0</f>
        <v>10</v>
      </c>
      <c r="E60" s="30"/>
      <c r="F60" s="26">
        <f t="shared" si="6"/>
        <v>30</v>
      </c>
      <c r="G60" s="38"/>
      <c r="H60" s="24">
        <f>50+0</f>
        <v>50</v>
      </c>
      <c r="I60" s="29">
        <f t="shared" si="7"/>
        <v>0</v>
      </c>
    </row>
    <row r="61" spans="1:9" ht="14.45" customHeight="1" x14ac:dyDescent="0.25">
      <c r="A61" s="21" t="str">
        <f>CONCATENATE("Folding bed","")</f>
        <v>Folding bed</v>
      </c>
      <c r="B61" s="22" t="s">
        <v>7</v>
      </c>
      <c r="C61" s="23"/>
      <c r="D61" s="24">
        <f>20+0</f>
        <v>20</v>
      </c>
      <c r="E61" s="30"/>
      <c r="F61" s="26">
        <f t="shared" si="6"/>
        <v>40</v>
      </c>
      <c r="G61" s="38"/>
      <c r="H61" s="24">
        <f>60+0</f>
        <v>60</v>
      </c>
      <c r="I61" s="29">
        <f t="shared" si="7"/>
        <v>0</v>
      </c>
    </row>
    <row r="62" spans="1:9" ht="14.45" customHeight="1" x14ac:dyDescent="0.25">
      <c r="A62" s="21" t="str">
        <f>CONCATENATE("Hi Riser","")</f>
        <v>Hi Riser</v>
      </c>
      <c r="B62" s="22" t="s">
        <v>7</v>
      </c>
      <c r="C62" s="23"/>
      <c r="D62" s="24">
        <f>35+0</f>
        <v>35</v>
      </c>
      <c r="E62" s="30"/>
      <c r="F62" s="26">
        <f t="shared" si="6"/>
        <v>55</v>
      </c>
      <c r="G62" s="38"/>
      <c r="H62" s="24">
        <f>75+0</f>
        <v>75</v>
      </c>
      <c r="I62" s="29">
        <f t="shared" si="7"/>
        <v>0</v>
      </c>
    </row>
    <row r="63" spans="1:9" ht="14.45" customHeight="1" x14ac:dyDescent="0.25">
      <c r="A63" s="21" t="str">
        <f>CONCATENATE("High chair","")</f>
        <v>High chair</v>
      </c>
      <c r="B63" s="22" t="s">
        <v>7</v>
      </c>
      <c r="C63" s="23"/>
      <c r="D63" s="24">
        <f>10+0</f>
        <v>10</v>
      </c>
      <c r="E63" s="30"/>
      <c r="F63" s="26">
        <f t="shared" si="6"/>
        <v>30</v>
      </c>
      <c r="G63" s="38"/>
      <c r="H63" s="24">
        <f>50+0</f>
        <v>50</v>
      </c>
      <c r="I63" s="29">
        <f t="shared" si="7"/>
        <v>0</v>
      </c>
    </row>
    <row r="64" spans="1:9" ht="14.45" customHeight="1" x14ac:dyDescent="0.25">
      <c r="A64" s="21" t="str">
        <f>CONCATENATE("Kitchen cabinet","")</f>
        <v>Kitchen cabinet</v>
      </c>
      <c r="B64" s="22" t="s">
        <v>7</v>
      </c>
      <c r="C64" s="23"/>
      <c r="D64" s="24">
        <f>25+0</f>
        <v>25</v>
      </c>
      <c r="E64" s="30"/>
      <c r="F64" s="26">
        <f t="shared" si="6"/>
        <v>50</v>
      </c>
      <c r="G64" s="38"/>
      <c r="H64" s="24">
        <f>75+0</f>
        <v>75</v>
      </c>
      <c r="I64" s="29">
        <f t="shared" si="7"/>
        <v>0</v>
      </c>
    </row>
    <row r="65" spans="1:9" ht="14.45" customHeight="1" x14ac:dyDescent="0.25">
      <c r="A65" s="21" t="str">
        <f>CONCATENATE("Kitchen chair","")</f>
        <v>Kitchen chair</v>
      </c>
      <c r="B65" s="22" t="s">
        <v>7</v>
      </c>
      <c r="C65" s="23"/>
      <c r="D65" s="24">
        <f>3+0</f>
        <v>3</v>
      </c>
      <c r="E65" s="30"/>
      <c r="F65" s="26">
        <f t="shared" si="6"/>
        <v>6.5</v>
      </c>
      <c r="G65" s="38"/>
      <c r="H65" s="24">
        <f>10+0</f>
        <v>10</v>
      </c>
      <c r="I65" s="29">
        <f t="shared" si="7"/>
        <v>0</v>
      </c>
    </row>
    <row r="66" spans="1:9" ht="14.45" customHeight="1" x14ac:dyDescent="0.25">
      <c r="A66" s="21" t="str">
        <f>CONCATENATE("Mattress double","")</f>
        <v>Mattress double</v>
      </c>
      <c r="B66" s="22" t="s">
        <v>7</v>
      </c>
      <c r="C66" s="23"/>
      <c r="D66" s="24">
        <f>35+0</f>
        <v>35</v>
      </c>
      <c r="E66" s="30"/>
      <c r="F66" s="26">
        <f t="shared" si="6"/>
        <v>102.5</v>
      </c>
      <c r="G66" s="38"/>
      <c r="H66" s="24">
        <f>170+0</f>
        <v>170</v>
      </c>
      <c r="I66" s="29">
        <f t="shared" si="7"/>
        <v>0</v>
      </c>
    </row>
    <row r="67" spans="1:9" ht="14.45" customHeight="1" x14ac:dyDescent="0.25">
      <c r="A67" s="21" t="str">
        <f>CONCATENATE("Mattress double","")</f>
        <v>Mattress double</v>
      </c>
      <c r="B67" s="22" t="s">
        <v>7</v>
      </c>
      <c r="C67" s="23"/>
      <c r="D67" s="24">
        <f>13+0</f>
        <v>13</v>
      </c>
      <c r="E67" s="30"/>
      <c r="F67" s="26">
        <f t="shared" si="6"/>
        <v>44</v>
      </c>
      <c r="G67" s="38"/>
      <c r="H67" s="24">
        <f>75+0</f>
        <v>75</v>
      </c>
      <c r="I67" s="29">
        <f t="shared" si="7"/>
        <v>0</v>
      </c>
    </row>
    <row r="68" spans="1:9" ht="14.45" customHeight="1" x14ac:dyDescent="0.25">
      <c r="A68" s="21" t="str">
        <f>CONCATENATE("Mattress single","")</f>
        <v>Mattress single</v>
      </c>
      <c r="B68" s="22" t="s">
        <v>7</v>
      </c>
      <c r="C68" s="23"/>
      <c r="D68" s="24">
        <f>15+0</f>
        <v>15</v>
      </c>
      <c r="E68" s="30"/>
      <c r="F68" s="26">
        <f t="shared" si="6"/>
        <v>25</v>
      </c>
      <c r="G68" s="38"/>
      <c r="H68" s="24">
        <f>35+0</f>
        <v>35</v>
      </c>
      <c r="I68" s="29">
        <f t="shared" si="7"/>
        <v>0</v>
      </c>
    </row>
    <row r="69" spans="1:9" ht="14.45" customHeight="1" x14ac:dyDescent="0.25">
      <c r="A69" s="21" t="str">
        <f>CONCATENATE("Piano","")</f>
        <v>Piano</v>
      </c>
      <c r="B69" s="22" t="s">
        <v>1</v>
      </c>
      <c r="C69" s="23"/>
      <c r="D69" s="24">
        <f>90+0</f>
        <v>90</v>
      </c>
      <c r="E69" s="30"/>
      <c r="F69" s="26">
        <f t="shared" si="6"/>
        <v>170</v>
      </c>
      <c r="G69" s="38"/>
      <c r="H69" s="24">
        <f>250+0</f>
        <v>250</v>
      </c>
      <c r="I69" s="29">
        <f t="shared" si="7"/>
        <v>0</v>
      </c>
    </row>
    <row r="70" spans="1:9" ht="14.45" customHeight="1" x14ac:dyDescent="0.25">
      <c r="A70" s="21" t="str">
        <f>CONCATENATE("Ping pong table","")</f>
        <v>Ping pong table</v>
      </c>
      <c r="B70" s="22" t="s">
        <v>1</v>
      </c>
      <c r="C70" s="23"/>
      <c r="D70" s="24">
        <f>15+0</f>
        <v>15</v>
      </c>
      <c r="E70" s="30"/>
      <c r="F70" s="26">
        <f t="shared" si="6"/>
        <v>45</v>
      </c>
      <c r="G70" s="38"/>
      <c r="H70" s="24">
        <f>75+0</f>
        <v>75</v>
      </c>
      <c r="I70" s="29">
        <f t="shared" si="7"/>
        <v>0</v>
      </c>
    </row>
    <row r="71" spans="1:9" ht="14.45" customHeight="1" x14ac:dyDescent="0.25">
      <c r="A71" s="21" t="str">
        <f>CONCATENATE("Playpen","")</f>
        <v>Playpen</v>
      </c>
      <c r="B71" s="22" t="s">
        <v>7</v>
      </c>
      <c r="C71" s="23"/>
      <c r="D71" s="24">
        <f>4+0</f>
        <v>4</v>
      </c>
      <c r="E71" s="30"/>
      <c r="F71" s="26">
        <f t="shared" si="6"/>
        <v>17</v>
      </c>
      <c r="G71" s="38"/>
      <c r="H71" s="24">
        <f>30+0</f>
        <v>30</v>
      </c>
      <c r="I71" s="29">
        <f t="shared" si="7"/>
        <v>0</v>
      </c>
    </row>
    <row r="72" spans="1:9" ht="14.45" customHeight="1" x14ac:dyDescent="0.25">
      <c r="A72" s="21" t="str">
        <f>CONCATENATE("Pool table","")</f>
        <v>Pool table</v>
      </c>
      <c r="B72" s="22" t="s">
        <v>1</v>
      </c>
      <c r="C72" s="23"/>
      <c r="D72" s="24">
        <f>60+0</f>
        <v>60</v>
      </c>
      <c r="E72" s="30"/>
      <c r="F72" s="26">
        <f t="shared" si="6"/>
        <v>230</v>
      </c>
      <c r="G72" s="38"/>
      <c r="H72" s="24">
        <f>400+0</f>
        <v>400</v>
      </c>
      <c r="I72" s="29">
        <f t="shared" si="7"/>
        <v>0</v>
      </c>
    </row>
    <row r="73" spans="1:9" ht="14.45" customHeight="1" x14ac:dyDescent="0.25">
      <c r="A73" s="21" t="str">
        <f>CONCATENATE("Rugs","")</f>
        <v>Rugs</v>
      </c>
      <c r="B73" s="22" t="s">
        <v>7</v>
      </c>
      <c r="C73" s="23"/>
      <c r="D73" s="24">
        <f>20+0</f>
        <v>20</v>
      </c>
      <c r="E73" s="30"/>
      <c r="F73" s="26">
        <f t="shared" si="6"/>
        <v>55</v>
      </c>
      <c r="G73" s="38"/>
      <c r="H73" s="24">
        <f>90+0</f>
        <v>90</v>
      </c>
      <c r="I73" s="29">
        <f t="shared" si="7"/>
        <v>0</v>
      </c>
    </row>
    <row r="74" spans="1:9" ht="14.45" customHeight="1" x14ac:dyDescent="0.25">
      <c r="A74" s="21" t="str">
        <f>CONCATENATE("Secretary","")</f>
        <v>Secretary</v>
      </c>
      <c r="B74" s="22" t="s">
        <v>7</v>
      </c>
      <c r="C74" s="23"/>
      <c r="D74" s="24">
        <f>50+0</f>
        <v>50</v>
      </c>
      <c r="E74" s="30"/>
      <c r="F74" s="26">
        <f t="shared" si="6"/>
        <v>95</v>
      </c>
      <c r="G74" s="38"/>
      <c r="H74" s="24">
        <f>140+0</f>
        <v>140</v>
      </c>
      <c r="I74" s="29">
        <f t="shared" si="7"/>
        <v>0</v>
      </c>
    </row>
    <row r="75" spans="1:9" ht="14.45" customHeight="1" x14ac:dyDescent="0.25">
      <c r="A75" s="21" t="str">
        <f>CONCATENATE("Sleeper sofa w/mattress","")</f>
        <v>Sleeper sofa w/mattress</v>
      </c>
      <c r="B75" s="22" t="s">
        <v>7</v>
      </c>
      <c r="C75" s="23"/>
      <c r="D75" s="24">
        <f>85+0</f>
        <v>85</v>
      </c>
      <c r="E75" s="30"/>
      <c r="F75" s="26">
        <f t="shared" si="6"/>
        <v>192.5</v>
      </c>
      <c r="G75" s="38"/>
      <c r="H75" s="24">
        <f>300+0</f>
        <v>300</v>
      </c>
      <c r="I75" s="29">
        <f t="shared" si="7"/>
        <v>0</v>
      </c>
    </row>
    <row r="76" spans="1:9" ht="14.45" customHeight="1" x14ac:dyDescent="0.25">
      <c r="A76" s="21" t="str">
        <f>CONCATENATE("Sofa","")</f>
        <v>Sofa</v>
      </c>
      <c r="B76" s="22" t="s">
        <v>7</v>
      </c>
      <c r="C76" s="23"/>
      <c r="D76" s="24">
        <f>35+0</f>
        <v>35</v>
      </c>
      <c r="E76" s="30"/>
      <c r="F76" s="26">
        <f t="shared" si="6"/>
        <v>117.5</v>
      </c>
      <c r="G76" s="38"/>
      <c r="H76" s="24">
        <f>200+0</f>
        <v>200</v>
      </c>
      <c r="I76" s="29">
        <f t="shared" si="7"/>
        <v>0</v>
      </c>
    </row>
    <row r="77" spans="1:9" ht="14.45" customHeight="1" x14ac:dyDescent="0.25">
      <c r="A77" s="21" t="str">
        <f>CONCATENATE("Trunk","")</f>
        <v>Trunk</v>
      </c>
      <c r="B77" s="22" t="s">
        <v>7</v>
      </c>
      <c r="C77" s="23"/>
      <c r="D77" s="24">
        <f>5+0</f>
        <v>5</v>
      </c>
      <c r="E77" s="30"/>
      <c r="F77" s="26">
        <f t="shared" si="6"/>
        <v>37.5</v>
      </c>
      <c r="G77" s="38"/>
      <c r="H77" s="24">
        <f>70+0</f>
        <v>70</v>
      </c>
      <c r="I77" s="29">
        <f t="shared" si="7"/>
        <v>0</v>
      </c>
    </row>
    <row r="78" spans="1:9" ht="14.45" customHeight="1" x14ac:dyDescent="0.25">
      <c r="A78" s="21" t="str">
        <f>CONCATENATE("Wardrobe","")</f>
        <v>Wardrobe</v>
      </c>
      <c r="B78" s="22" t="s">
        <v>7</v>
      </c>
      <c r="C78" s="23"/>
      <c r="D78" s="24">
        <f>20+0</f>
        <v>20</v>
      </c>
      <c r="E78" s="30"/>
      <c r="F78" s="26">
        <f t="shared" si="6"/>
        <v>60</v>
      </c>
      <c r="G78" s="38"/>
      <c r="H78" s="24">
        <f>100+0</f>
        <v>100</v>
      </c>
      <c r="I78" s="29">
        <f t="shared" si="7"/>
        <v>0</v>
      </c>
    </row>
    <row r="79" spans="1:9" ht="15" customHeight="1" thickBot="1" x14ac:dyDescent="0.3"/>
    <row r="80" spans="1:9" ht="15" customHeight="1" thickBot="1" x14ac:dyDescent="0.3">
      <c r="A80" s="7" t="str">
        <f>CONCATENATE("Household","")</f>
        <v>Household</v>
      </c>
      <c r="B80" s="31" t="str">
        <f>$B$6</f>
        <v>Source</v>
      </c>
      <c r="C80" s="32" t="str">
        <f>$C$6</f>
        <v>Qty</v>
      </c>
      <c r="D80" s="33" t="str">
        <f>$D$6</f>
        <v>Low</v>
      </c>
      <c r="E80" s="32" t="str">
        <f>$E$6</f>
        <v>Qty</v>
      </c>
      <c r="F80" s="33" t="str">
        <f>$F$6</f>
        <v>Avg</v>
      </c>
      <c r="G80" s="32" t="str">
        <f>$G$6</f>
        <v>Qty</v>
      </c>
      <c r="H80" s="33" t="str">
        <f>$H$6</f>
        <v>High</v>
      </c>
      <c r="I80" s="34" t="str">
        <f>$I$6</f>
        <v>Total</v>
      </c>
    </row>
    <row r="81" spans="1:9" ht="14.45" customHeight="1" x14ac:dyDescent="0.25">
      <c r="A81" s="12" t="str">
        <f>CONCATENATE("Bakeware","")</f>
        <v>Bakeware</v>
      </c>
      <c r="B81" s="13" t="s">
        <v>7</v>
      </c>
      <c r="C81" s="14"/>
      <c r="D81" s="15">
        <f>1+0</f>
        <v>1</v>
      </c>
      <c r="E81" s="14"/>
      <c r="F81" s="17">
        <f t="shared" ref="F81:F102" si="8">(D81+H81)/2</f>
        <v>2</v>
      </c>
      <c r="G81" s="18"/>
      <c r="H81" s="15">
        <f>3+0</f>
        <v>3</v>
      </c>
      <c r="I81" s="20">
        <f t="shared" ref="I81:I102" si="9">C81*D81+E81*F81+G81*H81</f>
        <v>0</v>
      </c>
    </row>
    <row r="82" spans="1:9" ht="14.45" customHeight="1" x14ac:dyDescent="0.25">
      <c r="A82" s="21" t="str">
        <f>CONCATENATE("Bedspread or Quilts","")</f>
        <v>Bedspread or Quilts</v>
      </c>
      <c r="B82" s="22" t="s">
        <v>7</v>
      </c>
      <c r="C82" s="23"/>
      <c r="D82" s="24">
        <f>3+0</f>
        <v>3</v>
      </c>
      <c r="E82" s="23"/>
      <c r="F82" s="26">
        <f t="shared" si="8"/>
        <v>13.5</v>
      </c>
      <c r="G82" s="27"/>
      <c r="H82" s="24">
        <f>24+0</f>
        <v>24</v>
      </c>
      <c r="I82" s="29">
        <f t="shared" si="9"/>
        <v>0</v>
      </c>
    </row>
    <row r="83" spans="1:9" ht="14.45" customHeight="1" x14ac:dyDescent="0.25">
      <c r="A83" s="21" t="str">
        <f>CONCATENATE("Blanket","")</f>
        <v>Blanket</v>
      </c>
      <c r="B83" s="22" t="s">
        <v>7</v>
      </c>
      <c r="C83" s="23"/>
      <c r="D83" s="24">
        <f>3+0</f>
        <v>3</v>
      </c>
      <c r="E83" s="23"/>
      <c r="F83" s="26">
        <f t="shared" si="8"/>
        <v>9</v>
      </c>
      <c r="G83" s="27"/>
      <c r="H83" s="24">
        <f>15+0</f>
        <v>15</v>
      </c>
      <c r="I83" s="29">
        <f t="shared" si="9"/>
        <v>0</v>
      </c>
    </row>
    <row r="84" spans="1:9" ht="14.45" customHeight="1" x14ac:dyDescent="0.25">
      <c r="A84" s="21" t="str">
        <f>CONCATENATE("Chair or Sofa cover","")</f>
        <v>Chair or Sofa cover</v>
      </c>
      <c r="B84" s="22" t="s">
        <v>7</v>
      </c>
      <c r="C84" s="23"/>
      <c r="D84" s="24">
        <f>15+0</f>
        <v>15</v>
      </c>
      <c r="E84" s="23"/>
      <c r="F84" s="26">
        <f t="shared" si="8"/>
        <v>25</v>
      </c>
      <c r="G84" s="27"/>
      <c r="H84" s="24">
        <f>35+0</f>
        <v>35</v>
      </c>
      <c r="I84" s="29">
        <f t="shared" si="9"/>
        <v>0</v>
      </c>
    </row>
    <row r="85" spans="1:9" ht="14.45" customHeight="1" x14ac:dyDescent="0.25">
      <c r="A85" s="21" t="str">
        <f>CONCATENATE("Coffeemaker","")</f>
        <v>Coffeemaker</v>
      </c>
      <c r="B85" s="22" t="s">
        <v>7</v>
      </c>
      <c r="C85" s="23"/>
      <c r="D85" s="24">
        <f>4+0</f>
        <v>4</v>
      </c>
      <c r="E85" s="23"/>
      <c r="F85" s="26">
        <f t="shared" si="8"/>
        <v>9.5</v>
      </c>
      <c r="G85" s="27"/>
      <c r="H85" s="24">
        <f>15+0</f>
        <v>15</v>
      </c>
      <c r="I85" s="29">
        <f t="shared" si="9"/>
        <v>0</v>
      </c>
    </row>
    <row r="86" spans="1:9" ht="14.45" customHeight="1" x14ac:dyDescent="0.25">
      <c r="A86" s="21" t="str">
        <f>CONCATENATE("Curtains","")</f>
        <v>Curtains</v>
      </c>
      <c r="B86" s="22" t="s">
        <v>7</v>
      </c>
      <c r="C86" s="23"/>
      <c r="D86" s="24">
        <f>2+0</f>
        <v>2</v>
      </c>
      <c r="E86" s="23"/>
      <c r="F86" s="26">
        <f t="shared" si="8"/>
        <v>7</v>
      </c>
      <c r="G86" s="27"/>
      <c r="H86" s="24">
        <f>12+0</f>
        <v>12</v>
      </c>
      <c r="I86" s="29">
        <f t="shared" si="9"/>
        <v>0</v>
      </c>
    </row>
    <row r="87" spans="1:9" ht="14.45" customHeight="1" x14ac:dyDescent="0.25">
      <c r="A87" s="21" t="str">
        <f>CONCATENATE("Drapes","")</f>
        <v>Drapes</v>
      </c>
      <c r="B87" s="22" t="s">
        <v>7</v>
      </c>
      <c r="C87" s="23"/>
      <c r="D87" s="24">
        <f>7+0</f>
        <v>7</v>
      </c>
      <c r="E87" s="23"/>
      <c r="F87" s="26">
        <f t="shared" si="8"/>
        <v>23.5</v>
      </c>
      <c r="G87" s="27"/>
      <c r="H87" s="24">
        <f>40+0</f>
        <v>40</v>
      </c>
      <c r="I87" s="29">
        <f t="shared" si="9"/>
        <v>0</v>
      </c>
    </row>
    <row r="88" spans="1:9" ht="14.45" customHeight="1" x14ac:dyDescent="0.25">
      <c r="A88" s="21" t="str">
        <f>CONCATENATE("Fireplace set","")</f>
        <v>Fireplace set</v>
      </c>
      <c r="B88" s="22" t="s">
        <v>7</v>
      </c>
      <c r="C88" s="23"/>
      <c r="D88" s="24">
        <f>20+0</f>
        <v>20</v>
      </c>
      <c r="E88" s="23"/>
      <c r="F88" s="26">
        <f t="shared" si="8"/>
        <v>50</v>
      </c>
      <c r="G88" s="27"/>
      <c r="H88" s="24">
        <f>80+0</f>
        <v>80</v>
      </c>
      <c r="I88" s="29">
        <f t="shared" si="9"/>
        <v>0</v>
      </c>
    </row>
    <row r="89" spans="1:9" ht="14.45" customHeight="1" x14ac:dyDescent="0.25">
      <c r="A89" s="21" t="str">
        <f>CONCATENATE("Floor lamp","")</f>
        <v>Floor lamp</v>
      </c>
      <c r="B89" s="22" t="s">
        <v>7</v>
      </c>
      <c r="C89" s="23"/>
      <c r="D89" s="24">
        <f>6+0</f>
        <v>6</v>
      </c>
      <c r="E89" s="23"/>
      <c r="F89" s="26">
        <f t="shared" si="8"/>
        <v>28</v>
      </c>
      <c r="G89" s="27"/>
      <c r="H89" s="24">
        <f>50+0</f>
        <v>50</v>
      </c>
      <c r="I89" s="29">
        <f t="shared" si="9"/>
        <v>0</v>
      </c>
    </row>
    <row r="90" spans="1:9" ht="14.45" customHeight="1" x14ac:dyDescent="0.25">
      <c r="A90" s="21" t="str">
        <f>CONCATENATE("Glass cup","")</f>
        <v>Glass cup</v>
      </c>
      <c r="B90" s="22" t="s">
        <v>7</v>
      </c>
      <c r="C90" s="23"/>
      <c r="D90" s="24">
        <f>1+0</f>
        <v>1</v>
      </c>
      <c r="E90" s="23"/>
      <c r="F90" s="26">
        <f t="shared" si="8"/>
        <v>1.5</v>
      </c>
      <c r="G90" s="27"/>
      <c r="H90" s="24">
        <f>2+0</f>
        <v>2</v>
      </c>
      <c r="I90" s="29">
        <f t="shared" si="9"/>
        <v>0</v>
      </c>
    </row>
    <row r="91" spans="1:9" ht="14.45" customHeight="1" x14ac:dyDescent="0.25">
      <c r="A91" s="21" t="str">
        <f>CONCATENATE("Griddle","")</f>
        <v>Griddle</v>
      </c>
      <c r="B91" s="22" t="s">
        <v>7</v>
      </c>
      <c r="C91" s="23"/>
      <c r="D91" s="24">
        <f>4+0</f>
        <v>4</v>
      </c>
      <c r="E91" s="23"/>
      <c r="F91" s="26">
        <f t="shared" si="8"/>
        <v>8</v>
      </c>
      <c r="G91" s="27"/>
      <c r="H91" s="24">
        <f>12+0</f>
        <v>12</v>
      </c>
      <c r="I91" s="29">
        <f t="shared" si="9"/>
        <v>0</v>
      </c>
    </row>
    <row r="92" spans="1:9" ht="14.45" customHeight="1" x14ac:dyDescent="0.25">
      <c r="A92" s="21" t="str">
        <f>CONCATENATE("Kitchen utensils","")</f>
        <v>Kitchen utensils</v>
      </c>
      <c r="B92" s="22" t="s">
        <v>7</v>
      </c>
      <c r="C92" s="23"/>
      <c r="D92" s="24">
        <f>1+0</f>
        <v>1</v>
      </c>
      <c r="E92" s="23"/>
      <c r="F92" s="26">
        <f t="shared" si="8"/>
        <v>1.5</v>
      </c>
      <c r="G92" s="27"/>
      <c r="H92" s="24">
        <f>2+0</f>
        <v>2</v>
      </c>
      <c r="I92" s="29">
        <f t="shared" si="9"/>
        <v>0</v>
      </c>
    </row>
    <row r="93" spans="1:9" ht="14.45" customHeight="1" x14ac:dyDescent="0.25">
      <c r="A93" s="21" t="str">
        <f>CONCATENATE("Lamp","")</f>
        <v>Lamp</v>
      </c>
      <c r="B93" s="22" t="s">
        <v>7</v>
      </c>
      <c r="C93" s="23"/>
      <c r="D93" s="24">
        <f>5+0</f>
        <v>5</v>
      </c>
      <c r="E93" s="23"/>
      <c r="F93" s="26">
        <f t="shared" si="8"/>
        <v>40</v>
      </c>
      <c r="G93" s="27"/>
      <c r="H93" s="24">
        <f>75+0</f>
        <v>75</v>
      </c>
      <c r="I93" s="29">
        <f t="shared" si="9"/>
        <v>0</v>
      </c>
    </row>
    <row r="94" spans="1:9" ht="14.45" customHeight="1" x14ac:dyDescent="0.25">
      <c r="A94" s="21" t="str">
        <f>CONCATENATE("Mixer blender","")</f>
        <v>Mixer blender</v>
      </c>
      <c r="B94" s="22" t="s">
        <v>7</v>
      </c>
      <c r="C94" s="23"/>
      <c r="D94" s="24">
        <f>5+0</f>
        <v>5</v>
      </c>
      <c r="E94" s="23"/>
      <c r="F94" s="26">
        <f t="shared" si="8"/>
        <v>12.5</v>
      </c>
      <c r="G94" s="27"/>
      <c r="H94" s="24">
        <f>20+0</f>
        <v>20</v>
      </c>
      <c r="I94" s="29">
        <f t="shared" si="9"/>
        <v>0</v>
      </c>
    </row>
    <row r="95" spans="1:9" ht="14.45" customHeight="1" x14ac:dyDescent="0.25">
      <c r="A95" s="21" t="str">
        <f>CONCATENATE("Picture or Painting","")</f>
        <v>Picture or Painting</v>
      </c>
      <c r="B95" s="22" t="s">
        <v>7</v>
      </c>
      <c r="C95" s="23"/>
      <c r="D95" s="24">
        <f>5+0</f>
        <v>5</v>
      </c>
      <c r="E95" s="23"/>
      <c r="F95" s="26">
        <f t="shared" si="8"/>
        <v>102.5</v>
      </c>
      <c r="G95" s="27"/>
      <c r="H95" s="24">
        <f>200+0</f>
        <v>200</v>
      </c>
      <c r="I95" s="29">
        <f t="shared" si="9"/>
        <v>0</v>
      </c>
    </row>
    <row r="96" spans="1:9" ht="14.45" customHeight="1" x14ac:dyDescent="0.25">
      <c r="A96" s="21" t="str">
        <f>CONCATENATE("Pillow","")</f>
        <v>Pillow</v>
      </c>
      <c r="B96" s="22" t="s">
        <v>7</v>
      </c>
      <c r="C96" s="23"/>
      <c r="D96" s="24">
        <f>2+0</f>
        <v>2</v>
      </c>
      <c r="E96" s="23"/>
      <c r="F96" s="26">
        <f t="shared" si="8"/>
        <v>5</v>
      </c>
      <c r="G96" s="27"/>
      <c r="H96" s="24">
        <f>8+0</f>
        <v>8</v>
      </c>
      <c r="I96" s="29">
        <f t="shared" si="9"/>
        <v>0</v>
      </c>
    </row>
    <row r="97" spans="1:9" ht="14.45" customHeight="1" x14ac:dyDescent="0.25">
      <c r="A97" s="21" t="str">
        <f>CONCATENATE("Plate","")</f>
        <v>Plate</v>
      </c>
      <c r="B97" s="22" t="s">
        <v>7</v>
      </c>
      <c r="C97" s="23"/>
      <c r="D97" s="24">
        <f>1+0</f>
        <v>1</v>
      </c>
      <c r="E97" s="23"/>
      <c r="F97" s="26">
        <f t="shared" si="8"/>
        <v>2</v>
      </c>
      <c r="G97" s="27"/>
      <c r="H97" s="24">
        <f>3+0</f>
        <v>3</v>
      </c>
      <c r="I97" s="29">
        <f t="shared" si="9"/>
        <v>0</v>
      </c>
    </row>
    <row r="98" spans="1:9" ht="14.45" customHeight="1" x14ac:dyDescent="0.25">
      <c r="A98" s="21" t="str">
        <f>CONCATENATE("Pot/Pan","")</f>
        <v>Pot/Pan</v>
      </c>
      <c r="B98" s="22" t="s">
        <v>7</v>
      </c>
      <c r="C98" s="23"/>
      <c r="D98" s="24">
        <f>1+0</f>
        <v>1</v>
      </c>
      <c r="E98" s="23"/>
      <c r="F98" s="26">
        <f t="shared" si="8"/>
        <v>2</v>
      </c>
      <c r="G98" s="27"/>
      <c r="H98" s="24">
        <f>3+0</f>
        <v>3</v>
      </c>
      <c r="I98" s="29">
        <f t="shared" si="9"/>
        <v>0</v>
      </c>
    </row>
    <row r="99" spans="1:9" ht="14.45" customHeight="1" x14ac:dyDescent="0.25">
      <c r="A99" s="21" t="str">
        <f>CONCATENATE("Radio","")</f>
        <v>Radio</v>
      </c>
      <c r="B99" s="22" t="s">
        <v>7</v>
      </c>
      <c r="C99" s="23"/>
      <c r="D99" s="24">
        <f>8+0</f>
        <v>8</v>
      </c>
      <c r="E99" s="23"/>
      <c r="F99" s="26">
        <f t="shared" si="8"/>
        <v>29</v>
      </c>
      <c r="G99" s="27"/>
      <c r="H99" s="24">
        <f>50+0</f>
        <v>50</v>
      </c>
      <c r="I99" s="29">
        <f t="shared" si="9"/>
        <v>0</v>
      </c>
    </row>
    <row r="100" spans="1:9" ht="14.45" customHeight="1" x14ac:dyDescent="0.25">
      <c r="A100" s="21" t="str">
        <f>CONCATENATE("Sheets","")</f>
        <v>Sheets</v>
      </c>
      <c r="B100" s="22" t="s">
        <v>7</v>
      </c>
      <c r="C100" s="23"/>
      <c r="D100" s="24">
        <f>2+0</f>
        <v>2</v>
      </c>
      <c r="E100" s="23"/>
      <c r="F100" s="26">
        <f t="shared" si="8"/>
        <v>5</v>
      </c>
      <c r="G100" s="27"/>
      <c r="H100" s="24">
        <f>8+0</f>
        <v>8</v>
      </c>
      <c r="I100" s="29">
        <f t="shared" si="9"/>
        <v>0</v>
      </c>
    </row>
    <row r="101" spans="1:9" ht="14.45" customHeight="1" x14ac:dyDescent="0.25">
      <c r="A101" s="21" t="str">
        <f>CONCATENATE("Throw rug","")</f>
        <v>Throw rug</v>
      </c>
      <c r="B101" s="22" t="s">
        <v>7</v>
      </c>
      <c r="C101" s="23"/>
      <c r="D101" s="24">
        <f>2+0</f>
        <v>2</v>
      </c>
      <c r="E101" s="23"/>
      <c r="F101" s="26">
        <f t="shared" si="8"/>
        <v>7</v>
      </c>
      <c r="G101" s="27"/>
      <c r="H101" s="24">
        <f>12+0</f>
        <v>12</v>
      </c>
      <c r="I101" s="29">
        <f t="shared" si="9"/>
        <v>0</v>
      </c>
    </row>
    <row r="102" spans="1:9" ht="14.45" customHeight="1" x14ac:dyDescent="0.25">
      <c r="A102" s="21" t="str">
        <f>CONCATENATE("Towels","")</f>
        <v>Towels</v>
      </c>
      <c r="B102" s="22" t="s">
        <v>7</v>
      </c>
      <c r="C102" s="23"/>
      <c r="D102" s="24">
        <f>1+0</f>
        <v>1</v>
      </c>
      <c r="E102" s="23"/>
      <c r="F102" s="26">
        <f t="shared" si="8"/>
        <v>2.5</v>
      </c>
      <c r="G102" s="27"/>
      <c r="H102" s="24">
        <f>4+0</f>
        <v>4</v>
      </c>
      <c r="I102" s="29">
        <f t="shared" si="9"/>
        <v>0</v>
      </c>
    </row>
    <row r="103" spans="1:9" ht="15" customHeight="1" thickBot="1" x14ac:dyDescent="0.3"/>
    <row r="104" spans="1:9" ht="15" customHeight="1" thickBot="1" x14ac:dyDescent="0.3">
      <c r="A104" s="7" t="str">
        <f>CONCATENATE("Mens","")</f>
        <v>Mens</v>
      </c>
      <c r="B104" s="31" t="str">
        <f>$B$6</f>
        <v>Source</v>
      </c>
      <c r="C104" s="32" t="str">
        <f>$C$6</f>
        <v>Qty</v>
      </c>
      <c r="D104" s="33" t="str">
        <f>$D$6</f>
        <v>Low</v>
      </c>
      <c r="E104" s="32" t="str">
        <f>$E$6</f>
        <v>Qty</v>
      </c>
      <c r="F104" s="33" t="str">
        <f>$F$6</f>
        <v>Avg</v>
      </c>
      <c r="G104" s="32" t="str">
        <f>$G$6</f>
        <v>Qty</v>
      </c>
      <c r="H104" s="33" t="str">
        <f>$H$6</f>
        <v>High</v>
      </c>
      <c r="I104" s="34" t="str">
        <f>$I$6</f>
        <v>Total</v>
      </c>
    </row>
    <row r="105" spans="1:9" ht="14.45" customHeight="1" x14ac:dyDescent="0.25">
      <c r="A105" s="12" t="str">
        <f>CONCATENATE("Belts-leather","")</f>
        <v>Belts-leather</v>
      </c>
      <c r="B105" s="13" t="s">
        <v>3</v>
      </c>
      <c r="C105" s="14"/>
      <c r="D105" s="15">
        <f>5+0</f>
        <v>5</v>
      </c>
      <c r="E105" s="14"/>
      <c r="F105" s="17">
        <f t="shared" ref="F105:F130" si="10">(D105+H105)/2</f>
        <v>10</v>
      </c>
      <c r="G105" s="18"/>
      <c r="H105" s="15">
        <f>15+0</f>
        <v>15</v>
      </c>
      <c r="I105" s="20">
        <f t="shared" ref="I105:I130" si="11">C105*D105+E105*F105+G105*H105</f>
        <v>0</v>
      </c>
    </row>
    <row r="106" spans="1:9" ht="14.45" customHeight="1" x14ac:dyDescent="0.25">
      <c r="A106" s="21" t="str">
        <f>CONCATENATE("Belts-other","")</f>
        <v>Belts-other</v>
      </c>
      <c r="B106" s="22" t="s">
        <v>3</v>
      </c>
      <c r="C106" s="23"/>
      <c r="D106" s="24">
        <f>2+0</f>
        <v>2</v>
      </c>
      <c r="E106" s="23"/>
      <c r="F106" s="26">
        <f t="shared" si="10"/>
        <v>4</v>
      </c>
      <c r="G106" s="27"/>
      <c r="H106" s="24">
        <f>6+0</f>
        <v>6</v>
      </c>
      <c r="I106" s="29">
        <f t="shared" si="11"/>
        <v>0</v>
      </c>
    </row>
    <row r="107" spans="1:9" ht="14.45" customHeight="1" x14ac:dyDescent="0.25">
      <c r="A107" s="21" t="str">
        <f>CONCATENATE("Blazer","")</f>
        <v>Blazer</v>
      </c>
      <c r="B107" s="22" t="s">
        <v>3</v>
      </c>
      <c r="C107" s="23"/>
      <c r="D107" s="24">
        <f>6+0</f>
        <v>6</v>
      </c>
      <c r="E107" s="23"/>
      <c r="F107" s="26">
        <f t="shared" si="10"/>
        <v>9</v>
      </c>
      <c r="G107" s="27"/>
      <c r="H107" s="24">
        <f>12+0</f>
        <v>12</v>
      </c>
      <c r="I107" s="29">
        <f t="shared" si="11"/>
        <v>0</v>
      </c>
    </row>
    <row r="108" spans="1:9" ht="14.45" customHeight="1" x14ac:dyDescent="0.25">
      <c r="A108" s="21" t="str">
        <f>CONCATENATE("Boots-ankle","")</f>
        <v>Boots-ankle</v>
      </c>
      <c r="B108" s="22" t="s">
        <v>3</v>
      </c>
      <c r="C108" s="23"/>
      <c r="D108" s="24">
        <f>6+0</f>
        <v>6</v>
      </c>
      <c r="E108" s="23"/>
      <c r="F108" s="26">
        <f t="shared" si="10"/>
        <v>12</v>
      </c>
      <c r="G108" s="27"/>
      <c r="H108" s="24">
        <f>18+0</f>
        <v>18</v>
      </c>
      <c r="I108" s="29">
        <f t="shared" si="11"/>
        <v>0</v>
      </c>
    </row>
    <row r="109" spans="1:9" ht="14.45" customHeight="1" x14ac:dyDescent="0.25">
      <c r="A109" s="21" t="str">
        <f>CONCATENATE("Coats","")</f>
        <v>Coats</v>
      </c>
      <c r="B109" s="22" t="s">
        <v>3</v>
      </c>
      <c r="C109" s="23"/>
      <c r="D109" s="24">
        <f>7+0</f>
        <v>7</v>
      </c>
      <c r="E109" s="23"/>
      <c r="F109" s="26">
        <f t="shared" si="10"/>
        <v>23.5</v>
      </c>
      <c r="G109" s="27"/>
      <c r="H109" s="24">
        <f>40+0</f>
        <v>40</v>
      </c>
      <c r="I109" s="29">
        <f t="shared" si="11"/>
        <v>0</v>
      </c>
    </row>
    <row r="110" spans="1:9" ht="14.45" customHeight="1" x14ac:dyDescent="0.25">
      <c r="A110" s="21" t="str">
        <f>CONCATENATE("Jeans","")</f>
        <v>Jeans</v>
      </c>
      <c r="B110" s="22" t="s">
        <v>3</v>
      </c>
      <c r="C110" s="23"/>
      <c r="D110" s="24">
        <f>4+0</f>
        <v>4</v>
      </c>
      <c r="E110" s="23"/>
      <c r="F110" s="26">
        <f t="shared" si="10"/>
        <v>12.5</v>
      </c>
      <c r="G110" s="27"/>
      <c r="H110" s="24">
        <f>21+0</f>
        <v>21</v>
      </c>
      <c r="I110" s="29">
        <f t="shared" si="11"/>
        <v>0</v>
      </c>
    </row>
    <row r="111" spans="1:9" ht="14.45" customHeight="1" x14ac:dyDescent="0.25">
      <c r="A111" s="21" t="str">
        <f>CONCATENATE("Luggage","")</f>
        <v>Luggage</v>
      </c>
      <c r="B111" s="22" t="s">
        <v>3</v>
      </c>
      <c r="C111" s="23"/>
      <c r="D111" s="24">
        <f>5+0</f>
        <v>5</v>
      </c>
      <c r="E111" s="23"/>
      <c r="F111" s="26">
        <f t="shared" si="10"/>
        <v>10</v>
      </c>
      <c r="G111" s="27"/>
      <c r="H111" s="24">
        <f>15+0</f>
        <v>15</v>
      </c>
      <c r="I111" s="29">
        <f t="shared" si="11"/>
        <v>0</v>
      </c>
    </row>
    <row r="112" spans="1:9" ht="14.45" customHeight="1" x14ac:dyDescent="0.25">
      <c r="A112" s="21" t="str">
        <f>CONCATENATE("Pajamas","")</f>
        <v>Pajamas</v>
      </c>
      <c r="B112" s="22" t="s">
        <v>3</v>
      </c>
      <c r="C112" s="23"/>
      <c r="D112" s="24">
        <f>2+0</f>
        <v>2</v>
      </c>
      <c r="E112" s="23"/>
      <c r="F112" s="26">
        <f t="shared" si="10"/>
        <v>6</v>
      </c>
      <c r="G112" s="27"/>
      <c r="H112" s="24">
        <f>10+0</f>
        <v>10</v>
      </c>
      <c r="I112" s="29">
        <f t="shared" si="11"/>
        <v>0</v>
      </c>
    </row>
    <row r="113" spans="1:9" ht="14.45" customHeight="1" x14ac:dyDescent="0.25">
      <c r="A113" s="21" t="str">
        <f>CONCATENATE("Pants-casual","")</f>
        <v>Pants-casual</v>
      </c>
      <c r="B113" s="22" t="s">
        <v>3</v>
      </c>
      <c r="C113" s="23"/>
      <c r="D113" s="24">
        <f>2+0</f>
        <v>2</v>
      </c>
      <c r="E113" s="23"/>
      <c r="F113" s="26">
        <f t="shared" si="10"/>
        <v>6</v>
      </c>
      <c r="G113" s="27"/>
      <c r="H113" s="24">
        <f>10+0</f>
        <v>10</v>
      </c>
      <c r="I113" s="29">
        <f t="shared" si="11"/>
        <v>0</v>
      </c>
    </row>
    <row r="114" spans="1:9" ht="14.45" customHeight="1" x14ac:dyDescent="0.25">
      <c r="A114" s="21" t="str">
        <f>CONCATENATE("Pants-dress","")</f>
        <v>Pants-dress</v>
      </c>
      <c r="B114" s="22" t="s">
        <v>3</v>
      </c>
      <c r="C114" s="23"/>
      <c r="D114" s="24">
        <f>2+0</f>
        <v>2</v>
      </c>
      <c r="E114" s="23"/>
      <c r="F114" s="26">
        <f t="shared" si="10"/>
        <v>8.5</v>
      </c>
      <c r="G114" s="27"/>
      <c r="H114" s="24">
        <f>15+0</f>
        <v>15</v>
      </c>
      <c r="I114" s="29">
        <f t="shared" si="11"/>
        <v>0</v>
      </c>
    </row>
    <row r="115" spans="1:9" ht="14.45" customHeight="1" x14ac:dyDescent="0.25">
      <c r="A115" s="21" t="str">
        <f>CONCATENATE("Robe","")</f>
        <v>Robe</v>
      </c>
      <c r="B115" s="22" t="s">
        <v>3</v>
      </c>
      <c r="C115" s="23"/>
      <c r="D115" s="24">
        <f>2+0</f>
        <v>2</v>
      </c>
      <c r="E115" s="23"/>
      <c r="F115" s="26">
        <f t="shared" si="10"/>
        <v>6</v>
      </c>
      <c r="G115" s="27"/>
      <c r="H115" s="24">
        <f>10+0</f>
        <v>10</v>
      </c>
      <c r="I115" s="29">
        <f t="shared" si="11"/>
        <v>0</v>
      </c>
    </row>
    <row r="116" spans="1:9" ht="14.45" customHeight="1" x14ac:dyDescent="0.25">
      <c r="A116" s="21" t="str">
        <f>CONCATENATE("Sandals/Slippers","")</f>
        <v>Sandals/Slippers</v>
      </c>
      <c r="B116" s="22" t="s">
        <v>3</v>
      </c>
      <c r="C116" s="23"/>
      <c r="D116" s="24">
        <f>4+0</f>
        <v>4</v>
      </c>
      <c r="E116" s="23"/>
      <c r="F116" s="26">
        <f t="shared" si="10"/>
        <v>6.5</v>
      </c>
      <c r="G116" s="27"/>
      <c r="H116" s="24">
        <f>9+0</f>
        <v>9</v>
      </c>
      <c r="I116" s="29">
        <f t="shared" si="11"/>
        <v>0</v>
      </c>
    </row>
    <row r="117" spans="1:9" ht="14.45" customHeight="1" x14ac:dyDescent="0.25">
      <c r="A117" s="21" t="str">
        <f>CONCATENATE("Shirts","")</f>
        <v>Shirts</v>
      </c>
      <c r="B117" s="22" t="s">
        <v>7</v>
      </c>
      <c r="C117" s="23"/>
      <c r="D117" s="24">
        <f>3+0</f>
        <v>3</v>
      </c>
      <c r="E117" s="23"/>
      <c r="F117" s="26">
        <f t="shared" si="10"/>
        <v>7.5</v>
      </c>
      <c r="G117" s="27"/>
      <c r="H117" s="24">
        <f>12+0</f>
        <v>12</v>
      </c>
      <c r="I117" s="29">
        <f t="shared" si="11"/>
        <v>0</v>
      </c>
    </row>
    <row r="118" spans="1:9" ht="14.45" customHeight="1" x14ac:dyDescent="0.25">
      <c r="A118" s="21" t="str">
        <f>CONCATENATE("Shoes-tennis","")</f>
        <v>Shoes-tennis</v>
      </c>
      <c r="B118" s="22" t="s">
        <v>3</v>
      </c>
      <c r="C118" s="23"/>
      <c r="D118" s="24">
        <f>4+0</f>
        <v>4</v>
      </c>
      <c r="E118" s="23"/>
      <c r="F118" s="26">
        <f t="shared" si="10"/>
        <v>6.5</v>
      </c>
      <c r="G118" s="27"/>
      <c r="H118" s="24">
        <f>9+0</f>
        <v>9</v>
      </c>
      <c r="I118" s="29">
        <f t="shared" si="11"/>
        <v>0</v>
      </c>
    </row>
    <row r="119" spans="1:9" ht="14.45" customHeight="1" x14ac:dyDescent="0.25">
      <c r="A119" s="21" t="str">
        <f>CONCATENATE("Shorts","")</f>
        <v>Shorts</v>
      </c>
      <c r="B119" s="22" t="s">
        <v>7</v>
      </c>
      <c r="C119" s="23"/>
      <c r="D119" s="24">
        <f>4+0</f>
        <v>4</v>
      </c>
      <c r="E119" s="23"/>
      <c r="F119" s="26">
        <f t="shared" si="10"/>
        <v>7</v>
      </c>
      <c r="G119" s="27"/>
      <c r="H119" s="24">
        <f>10+0</f>
        <v>10</v>
      </c>
      <c r="I119" s="29">
        <f t="shared" si="11"/>
        <v>0</v>
      </c>
    </row>
    <row r="120" spans="1:9" ht="14.45" customHeight="1" x14ac:dyDescent="0.25">
      <c r="A120" s="21" t="str">
        <f>CONCATENATE("Sport Coats","")</f>
        <v>Sport Coats</v>
      </c>
      <c r="B120" s="22" t="s">
        <v>3</v>
      </c>
      <c r="C120" s="23"/>
      <c r="D120" s="24">
        <f>6+0</f>
        <v>6</v>
      </c>
      <c r="E120" s="23"/>
      <c r="F120" s="26">
        <f t="shared" si="10"/>
        <v>9</v>
      </c>
      <c r="G120" s="27"/>
      <c r="H120" s="24">
        <f>12+0</f>
        <v>12</v>
      </c>
      <c r="I120" s="29">
        <f t="shared" si="11"/>
        <v>0</v>
      </c>
    </row>
    <row r="121" spans="1:9" ht="14.45" customHeight="1" x14ac:dyDescent="0.25">
      <c r="A121" s="21" t="str">
        <f>CONCATENATE("Suits-2 piece","")</f>
        <v>Suits-2 piece</v>
      </c>
      <c r="B121" s="22" t="s">
        <v>3</v>
      </c>
      <c r="C121" s="23"/>
      <c r="D121" s="24">
        <f>10+0</f>
        <v>10</v>
      </c>
      <c r="E121" s="23"/>
      <c r="F121" s="26">
        <f t="shared" si="10"/>
        <v>20</v>
      </c>
      <c r="G121" s="27"/>
      <c r="H121" s="24">
        <f>30+0</f>
        <v>30</v>
      </c>
      <c r="I121" s="29">
        <f t="shared" si="11"/>
        <v>0</v>
      </c>
    </row>
    <row r="122" spans="1:9" ht="14.45" customHeight="1" x14ac:dyDescent="0.25">
      <c r="A122" s="21" t="str">
        <f>CONCATENATE("Sweaters","")</f>
        <v>Sweaters</v>
      </c>
      <c r="B122" s="22" t="s">
        <v>3</v>
      </c>
      <c r="C122" s="23"/>
      <c r="D122" s="24">
        <f>5+0</f>
        <v>5</v>
      </c>
      <c r="E122" s="23"/>
      <c r="F122" s="26">
        <f t="shared" si="10"/>
        <v>10</v>
      </c>
      <c r="G122" s="27"/>
      <c r="H122" s="24">
        <f>15+0</f>
        <v>15</v>
      </c>
      <c r="I122" s="29">
        <f t="shared" si="11"/>
        <v>0</v>
      </c>
    </row>
    <row r="123" spans="1:9" ht="14.45" customHeight="1" x14ac:dyDescent="0.25">
      <c r="A123" s="21" t="str">
        <f>CONCATENATE("Sweats-bottom","")</f>
        <v>Sweats-bottom</v>
      </c>
      <c r="B123" s="22" t="s">
        <v>3</v>
      </c>
      <c r="C123" s="23"/>
      <c r="D123" s="24">
        <f>2+0</f>
        <v>2</v>
      </c>
      <c r="E123" s="23"/>
      <c r="F123" s="26">
        <f t="shared" si="10"/>
        <v>7</v>
      </c>
      <c r="G123" s="27"/>
      <c r="H123" s="24">
        <f>12+0</f>
        <v>12</v>
      </c>
      <c r="I123" s="29">
        <f t="shared" si="11"/>
        <v>0</v>
      </c>
    </row>
    <row r="124" spans="1:9" ht="14.45" customHeight="1" x14ac:dyDescent="0.25">
      <c r="A124" s="21" t="str">
        <f>CONCATENATE("Sweats-top","")</f>
        <v>Sweats-top</v>
      </c>
      <c r="B124" s="22" t="s">
        <v>3</v>
      </c>
      <c r="C124" s="23"/>
      <c r="D124" s="24">
        <f>2+0</f>
        <v>2</v>
      </c>
      <c r="E124" s="23"/>
      <c r="F124" s="26">
        <f t="shared" si="10"/>
        <v>7</v>
      </c>
      <c r="G124" s="27"/>
      <c r="H124" s="24">
        <f>12+0</f>
        <v>12</v>
      </c>
      <c r="I124" s="29">
        <f t="shared" si="11"/>
        <v>0</v>
      </c>
    </row>
    <row r="125" spans="1:9" ht="14.45" customHeight="1" x14ac:dyDescent="0.25">
      <c r="A125" s="21" t="str">
        <f>CONCATENATE("Swimwear","")</f>
        <v>Swimwear</v>
      </c>
      <c r="B125" s="22" t="s">
        <v>3</v>
      </c>
      <c r="C125" s="23"/>
      <c r="D125" s="24">
        <f>4+0</f>
        <v>4</v>
      </c>
      <c r="E125" s="23"/>
      <c r="F125" s="26">
        <f t="shared" si="10"/>
        <v>8</v>
      </c>
      <c r="G125" s="27"/>
      <c r="H125" s="24">
        <f>12+0</f>
        <v>12</v>
      </c>
      <c r="I125" s="29">
        <f t="shared" si="11"/>
        <v>0</v>
      </c>
    </row>
    <row r="126" spans="1:9" ht="14.45" customHeight="1" x14ac:dyDescent="0.25">
      <c r="A126" s="21" t="str">
        <f>CONCATENATE("Tanks","")</f>
        <v>Tanks</v>
      </c>
      <c r="B126" s="22" t="s">
        <v>3</v>
      </c>
      <c r="C126" s="23"/>
      <c r="D126" s="24">
        <f>1+0</f>
        <v>1</v>
      </c>
      <c r="E126" s="23"/>
      <c r="F126" s="26">
        <f t="shared" si="10"/>
        <v>3.5</v>
      </c>
      <c r="G126" s="27"/>
      <c r="H126" s="24">
        <f>6+0</f>
        <v>6</v>
      </c>
      <c r="I126" s="29">
        <f t="shared" si="11"/>
        <v>0</v>
      </c>
    </row>
    <row r="127" spans="1:9" ht="14.45" customHeight="1" x14ac:dyDescent="0.25">
      <c r="A127" s="21" t="str">
        <f>CONCATENATE("T-Shirts","")</f>
        <v>T-Shirts</v>
      </c>
      <c r="B127" s="22" t="s">
        <v>3</v>
      </c>
      <c r="C127" s="23"/>
      <c r="D127" s="24">
        <f>1+0</f>
        <v>1</v>
      </c>
      <c r="E127" s="23"/>
      <c r="F127" s="26">
        <f t="shared" si="10"/>
        <v>3.5</v>
      </c>
      <c r="G127" s="27"/>
      <c r="H127" s="24">
        <f>6+0</f>
        <v>6</v>
      </c>
      <c r="I127" s="29">
        <f t="shared" si="11"/>
        <v>0</v>
      </c>
    </row>
    <row r="128" spans="1:9" ht="14.45" customHeight="1" x14ac:dyDescent="0.25">
      <c r="A128" s="21" t="str">
        <f>CONCATENATE("Tuxedo","")</f>
        <v>Tuxedo</v>
      </c>
      <c r="B128" s="22" t="s">
        <v>7</v>
      </c>
      <c r="C128" s="23"/>
      <c r="D128" s="24">
        <f>10+0</f>
        <v>10</v>
      </c>
      <c r="E128" s="23"/>
      <c r="F128" s="26">
        <f t="shared" si="10"/>
        <v>35</v>
      </c>
      <c r="G128" s="27"/>
      <c r="H128" s="24">
        <f>60+0</f>
        <v>60</v>
      </c>
      <c r="I128" s="29">
        <f t="shared" si="11"/>
        <v>0</v>
      </c>
    </row>
    <row r="129" spans="1:9" ht="14.45" customHeight="1" x14ac:dyDescent="0.25">
      <c r="A129" s="21" t="str">
        <f>CONCATENATE("Vests","")</f>
        <v>Vests</v>
      </c>
      <c r="B129" s="22" t="s">
        <v>3</v>
      </c>
      <c r="C129" s="23"/>
      <c r="D129" s="24">
        <f>3+0</f>
        <v>3</v>
      </c>
      <c r="E129" s="23"/>
      <c r="F129" s="26">
        <f t="shared" si="10"/>
        <v>6</v>
      </c>
      <c r="G129" s="27"/>
      <c r="H129" s="24">
        <f>9+0</f>
        <v>9</v>
      </c>
      <c r="I129" s="29">
        <f t="shared" si="11"/>
        <v>0</v>
      </c>
    </row>
    <row r="130" spans="1:9" ht="14.45" customHeight="1" x14ac:dyDescent="0.25">
      <c r="A130" s="21" t="str">
        <f>CONCATENATE("Wallets","")</f>
        <v>Wallets</v>
      </c>
      <c r="B130" s="22" t="s">
        <v>3</v>
      </c>
      <c r="C130" s="23"/>
      <c r="D130" s="24">
        <f>2+0</f>
        <v>2</v>
      </c>
      <c r="E130" s="23"/>
      <c r="F130" s="26">
        <f t="shared" si="10"/>
        <v>4</v>
      </c>
      <c r="G130" s="27"/>
      <c r="H130" s="24">
        <f>6+0</f>
        <v>6</v>
      </c>
      <c r="I130" s="29">
        <f t="shared" si="11"/>
        <v>0</v>
      </c>
    </row>
    <row r="131" spans="1:9" ht="15" customHeight="1" thickBot="1" x14ac:dyDescent="0.3"/>
    <row r="132" spans="1:9" ht="15" customHeight="1" thickBot="1" x14ac:dyDescent="0.3">
      <c r="A132" s="7" t="str">
        <f>CONCATENATE("Miscellaneous","")</f>
        <v>Miscellaneous</v>
      </c>
      <c r="B132" s="31" t="str">
        <f>$B$6</f>
        <v>Source</v>
      </c>
      <c r="C132" s="32" t="str">
        <f>$C$6</f>
        <v>Qty</v>
      </c>
      <c r="D132" s="33" t="str">
        <f>$D$6</f>
        <v>Low</v>
      </c>
      <c r="E132" s="32" t="str">
        <f>$E$6</f>
        <v>Qty</v>
      </c>
      <c r="F132" s="33" t="str">
        <f>$F$6</f>
        <v>Avg</v>
      </c>
      <c r="G132" s="32" t="str">
        <f>$G$6</f>
        <v>Qty</v>
      </c>
      <c r="H132" s="33" t="str">
        <f>$H$6</f>
        <v>High</v>
      </c>
      <c r="I132" s="34" t="str">
        <f>$I$6</f>
        <v>Total</v>
      </c>
    </row>
    <row r="133" spans="1:9" ht="14.45" customHeight="1" x14ac:dyDescent="0.25">
      <c r="A133" s="12" t="str">
        <f>CONCATENATE("Answering Machine","")</f>
        <v>Answering Machine</v>
      </c>
      <c r="B133" s="13" t="s">
        <v>7</v>
      </c>
      <c r="C133" s="14"/>
      <c r="D133" s="15">
        <f>10+0</f>
        <v>10</v>
      </c>
      <c r="E133" s="14"/>
      <c r="F133" s="17">
        <f t="shared" ref="F133:F147" si="12">(D133+H133)/2</f>
        <v>20</v>
      </c>
      <c r="G133" s="18"/>
      <c r="H133" s="15">
        <f>30+0</f>
        <v>30</v>
      </c>
      <c r="I133" s="20">
        <f t="shared" ref="I133:I154" si="13">C133*D133+E133*F133+G133*H133</f>
        <v>0</v>
      </c>
    </row>
    <row r="134" spans="1:9" ht="14.45" customHeight="1" x14ac:dyDescent="0.25">
      <c r="A134" s="21" t="str">
        <f>CONCATENATE("Board games","")</f>
        <v>Board games</v>
      </c>
      <c r="B134" s="22" t="s">
        <v>7</v>
      </c>
      <c r="C134" s="23"/>
      <c r="D134" s="24">
        <f>1+0</f>
        <v>1</v>
      </c>
      <c r="E134" s="23"/>
      <c r="F134" s="26">
        <f t="shared" si="12"/>
        <v>2</v>
      </c>
      <c r="G134" s="27"/>
      <c r="H134" s="24">
        <f>3+0</f>
        <v>3</v>
      </c>
      <c r="I134" s="29">
        <f t="shared" si="13"/>
        <v>0</v>
      </c>
    </row>
    <row r="135" spans="1:9" ht="14.45" customHeight="1" x14ac:dyDescent="0.25">
      <c r="A135" s="21" t="str">
        <f>CONCATENATE("Books-hardback","")</f>
        <v>Books-hardback</v>
      </c>
      <c r="B135" s="22" t="s">
        <v>7</v>
      </c>
      <c r="C135" s="23"/>
      <c r="D135" s="24">
        <f>1+0</f>
        <v>1</v>
      </c>
      <c r="E135" s="23"/>
      <c r="F135" s="26">
        <f t="shared" si="12"/>
        <v>2</v>
      </c>
      <c r="G135" s="27"/>
      <c r="H135" s="24">
        <f>3+0</f>
        <v>3</v>
      </c>
      <c r="I135" s="29">
        <f t="shared" si="13"/>
        <v>0</v>
      </c>
    </row>
    <row r="136" spans="1:9" ht="14.45" customHeight="1" x14ac:dyDescent="0.25">
      <c r="A136" s="21" t="str">
        <f>CONCATENATE("Books-paperback","")</f>
        <v>Books-paperback</v>
      </c>
      <c r="B136" s="22" t="s">
        <v>7</v>
      </c>
      <c r="C136" s="23"/>
      <c r="D136" s="24">
        <f>1+0</f>
        <v>1</v>
      </c>
      <c r="E136" s="23"/>
      <c r="F136" s="26">
        <f t="shared" si="12"/>
        <v>1.5</v>
      </c>
      <c r="G136" s="27"/>
      <c r="H136" s="24">
        <f>2+0</f>
        <v>2</v>
      </c>
      <c r="I136" s="29">
        <f t="shared" si="13"/>
        <v>0</v>
      </c>
    </row>
    <row r="137" spans="1:9" ht="14.45" customHeight="1" x14ac:dyDescent="0.25">
      <c r="A137" s="21" t="str">
        <f>CONCATENATE("Carpet cleaner-working","")</f>
        <v>Carpet cleaner-working</v>
      </c>
      <c r="B137" s="22" t="s">
        <v>5</v>
      </c>
      <c r="C137" s="23"/>
      <c r="D137" s="24">
        <f>15+0</f>
        <v>15</v>
      </c>
      <c r="E137" s="23"/>
      <c r="F137" s="26">
        <f t="shared" si="12"/>
        <v>47.5</v>
      </c>
      <c r="G137" s="27"/>
      <c r="H137" s="24">
        <f>80+0</f>
        <v>80</v>
      </c>
      <c r="I137" s="29">
        <f t="shared" si="13"/>
        <v>0</v>
      </c>
    </row>
    <row r="138" spans="1:9" ht="14.45" customHeight="1" x14ac:dyDescent="0.25">
      <c r="A138" s="21" t="str">
        <f>CONCATENATE("CD","")</f>
        <v>CD</v>
      </c>
      <c r="B138" s="22" t="s">
        <v>7</v>
      </c>
      <c r="C138" s="23"/>
      <c r="D138" s="24">
        <f>2+0</f>
        <v>2</v>
      </c>
      <c r="E138" s="23"/>
      <c r="F138" s="26">
        <f t="shared" si="12"/>
        <v>3.5</v>
      </c>
      <c r="G138" s="27"/>
      <c r="H138" s="24">
        <f>5+0</f>
        <v>5</v>
      </c>
      <c r="I138" s="29">
        <f t="shared" si="13"/>
        <v>0</v>
      </c>
    </row>
    <row r="139" spans="1:9" ht="14.45" customHeight="1" x14ac:dyDescent="0.25">
      <c r="A139" s="21" t="str">
        <f>CONCATENATE("Christmas Tree","")</f>
        <v>Christmas Tree</v>
      </c>
      <c r="B139" s="22" t="s">
        <v>1</v>
      </c>
      <c r="C139" s="23"/>
      <c r="D139" s="24">
        <f>3+0</f>
        <v>3</v>
      </c>
      <c r="E139" s="23"/>
      <c r="F139" s="26">
        <f t="shared" si="12"/>
        <v>10.5</v>
      </c>
      <c r="G139" s="27"/>
      <c r="H139" s="24">
        <f>18+0</f>
        <v>18</v>
      </c>
      <c r="I139" s="29">
        <f t="shared" si="13"/>
        <v>0</v>
      </c>
    </row>
    <row r="140" spans="1:9" ht="14.45" customHeight="1" x14ac:dyDescent="0.25">
      <c r="A140" s="21" t="str">
        <f>CONCATENATE("Computer monitor","")</f>
        <v>Computer monitor</v>
      </c>
      <c r="B140" s="22" t="s">
        <v>7</v>
      </c>
      <c r="C140" s="23"/>
      <c r="D140" s="24">
        <f>5+0</f>
        <v>5</v>
      </c>
      <c r="E140" s="23"/>
      <c r="F140" s="26">
        <f t="shared" si="12"/>
        <v>27.5</v>
      </c>
      <c r="G140" s="27"/>
      <c r="H140" s="24">
        <f>50+0</f>
        <v>50</v>
      </c>
      <c r="I140" s="29">
        <f t="shared" si="13"/>
        <v>0</v>
      </c>
    </row>
    <row r="141" spans="1:9" ht="14.45" customHeight="1" x14ac:dyDescent="0.25">
      <c r="A141" s="21" t="str">
        <f>CONCATENATE("Computer System","")</f>
        <v>Computer System</v>
      </c>
      <c r="B141" s="22" t="s">
        <v>7</v>
      </c>
      <c r="C141" s="23"/>
      <c r="D141" s="24">
        <f>100+0</f>
        <v>100</v>
      </c>
      <c r="E141" s="23"/>
      <c r="F141" s="26">
        <f t="shared" si="12"/>
        <v>250</v>
      </c>
      <c r="G141" s="27"/>
      <c r="H141" s="24">
        <f>400+0</f>
        <v>400</v>
      </c>
      <c r="I141" s="29">
        <f t="shared" si="13"/>
        <v>0</v>
      </c>
    </row>
    <row r="142" spans="1:9" ht="14.45" customHeight="1" x14ac:dyDescent="0.25">
      <c r="A142" s="21" t="str">
        <f>CONCATENATE("Copier","")</f>
        <v>Copier</v>
      </c>
      <c r="B142" s="22" t="s">
        <v>7</v>
      </c>
      <c r="C142" s="23"/>
      <c r="D142" s="24">
        <f>40+0</f>
        <v>40</v>
      </c>
      <c r="E142" s="23"/>
      <c r="F142" s="26">
        <f t="shared" si="12"/>
        <v>120</v>
      </c>
      <c r="G142" s="27"/>
      <c r="H142" s="24">
        <f>200+0</f>
        <v>200</v>
      </c>
      <c r="I142" s="29">
        <f t="shared" si="13"/>
        <v>0</v>
      </c>
    </row>
    <row r="143" spans="1:9" ht="14.45" customHeight="1" x14ac:dyDescent="0.25">
      <c r="A143" s="21" t="str">
        <f>CONCATENATE("DVD","")</f>
        <v>DVD</v>
      </c>
      <c r="B143" s="22" t="s">
        <v>6</v>
      </c>
      <c r="C143" s="23"/>
      <c r="D143" s="24">
        <f>1+0</f>
        <v>1</v>
      </c>
      <c r="E143" s="23"/>
      <c r="F143" s="26">
        <f t="shared" si="12"/>
        <v>3</v>
      </c>
      <c r="G143" s="27"/>
      <c r="H143" s="24">
        <f>5+0</f>
        <v>5</v>
      </c>
      <c r="I143" s="29">
        <f t="shared" si="13"/>
        <v>0</v>
      </c>
    </row>
    <row r="144" spans="1:9" ht="14.45" customHeight="1" x14ac:dyDescent="0.25">
      <c r="A144" s="21" t="str">
        <f>CONCATENATE("Edger","")</f>
        <v>Edger</v>
      </c>
      <c r="B144" s="22" t="s">
        <v>4</v>
      </c>
      <c r="C144" s="23"/>
      <c r="D144" s="24">
        <f>6+0</f>
        <v>6</v>
      </c>
      <c r="E144" s="23"/>
      <c r="F144" s="26">
        <f t="shared" si="12"/>
        <v>33</v>
      </c>
      <c r="G144" s="27"/>
      <c r="H144" s="24">
        <f>60+0</f>
        <v>60</v>
      </c>
      <c r="I144" s="29">
        <f t="shared" si="13"/>
        <v>0</v>
      </c>
    </row>
    <row r="145" spans="1:9" ht="14.45" customHeight="1" x14ac:dyDescent="0.25">
      <c r="A145" s="21" t="str">
        <f>CONCATENATE("Printers-computer","")</f>
        <v>Printers-computer</v>
      </c>
      <c r="B145" s="22" t="s">
        <v>7</v>
      </c>
      <c r="C145" s="23"/>
      <c r="D145" s="24">
        <f>5+0</f>
        <v>5</v>
      </c>
      <c r="E145" s="23"/>
      <c r="F145" s="26">
        <f t="shared" si="12"/>
        <v>77.5</v>
      </c>
      <c r="G145" s="27"/>
      <c r="H145" s="24">
        <f>150+0</f>
        <v>150</v>
      </c>
      <c r="I145" s="29">
        <f t="shared" si="13"/>
        <v>0</v>
      </c>
    </row>
    <row r="146" spans="1:9" ht="14.45" customHeight="1" x14ac:dyDescent="0.25">
      <c r="A146" s="21" t="str">
        <f>CONCATENATE("Mower","")</f>
        <v>Mower</v>
      </c>
      <c r="B146" s="22" t="s">
        <v>7</v>
      </c>
      <c r="C146" s="23"/>
      <c r="D146" s="24">
        <f>25+0</f>
        <v>25</v>
      </c>
      <c r="E146" s="23"/>
      <c r="F146" s="26">
        <f t="shared" si="12"/>
        <v>62.5</v>
      </c>
      <c r="G146" s="27"/>
      <c r="H146" s="24">
        <f>100+0</f>
        <v>100</v>
      </c>
      <c r="I146" s="29">
        <f t="shared" si="13"/>
        <v>0</v>
      </c>
    </row>
    <row r="147" spans="1:9" ht="14.45" customHeight="1" x14ac:dyDescent="0.25">
      <c r="A147" s="21" t="str">
        <f>CONCATENATE("Mower-riding","")</f>
        <v>Mower-riding</v>
      </c>
      <c r="B147" s="22" t="s">
        <v>7</v>
      </c>
      <c r="C147" s="23"/>
      <c r="D147" s="24">
        <f>100+0</f>
        <v>100</v>
      </c>
      <c r="E147" s="23"/>
      <c r="F147" s="26">
        <f t="shared" si="12"/>
        <v>200</v>
      </c>
      <c r="G147" s="27"/>
      <c r="H147" s="24">
        <f>300+0</f>
        <v>300</v>
      </c>
      <c r="I147" s="29">
        <f t="shared" si="13"/>
        <v>0</v>
      </c>
    </row>
    <row r="148" spans="1:9" ht="14.45" customHeight="1" x14ac:dyDescent="0.25">
      <c r="A148" s="21" t="str">
        <f>CONCATENATE("Rototiller","")</f>
        <v>Rototiller</v>
      </c>
      <c r="B148" s="22" t="s">
        <v>1</v>
      </c>
      <c r="C148" s="23"/>
      <c r="D148" s="24">
        <f>15+0</f>
        <v>15</v>
      </c>
      <c r="E148" s="23"/>
      <c r="F148" s="26">
        <v>145</v>
      </c>
      <c r="G148" s="27"/>
      <c r="H148" s="24">
        <f>95+0</f>
        <v>95</v>
      </c>
      <c r="I148" s="29">
        <f t="shared" si="13"/>
        <v>0</v>
      </c>
    </row>
    <row r="149" spans="1:9" ht="14.45" customHeight="1" x14ac:dyDescent="0.25">
      <c r="A149" s="21" t="str">
        <f>CONCATENATE("Sewing Machine","")</f>
        <v>Sewing Machine</v>
      </c>
      <c r="B149" s="22" t="s">
        <v>7</v>
      </c>
      <c r="C149" s="23"/>
      <c r="D149" s="24">
        <f>15+0</f>
        <v>15</v>
      </c>
      <c r="E149" s="23"/>
      <c r="F149" s="26">
        <f t="shared" ref="F149:F154" si="14">(D149+H149)/2</f>
        <v>50</v>
      </c>
      <c r="G149" s="27"/>
      <c r="H149" s="24">
        <f>85+0</f>
        <v>85</v>
      </c>
      <c r="I149" s="29">
        <f t="shared" si="13"/>
        <v>0</v>
      </c>
    </row>
    <row r="150" spans="1:9" ht="14.45" customHeight="1" x14ac:dyDescent="0.25">
      <c r="A150" s="21" t="str">
        <f>CONCATENATE("Snowblower","")</f>
        <v>Snowblower</v>
      </c>
      <c r="B150" s="22" t="s">
        <v>1</v>
      </c>
      <c r="C150" s="23"/>
      <c r="D150" s="24">
        <f>15+0</f>
        <v>15</v>
      </c>
      <c r="E150" s="23"/>
      <c r="F150" s="26">
        <f t="shared" si="14"/>
        <v>247.5</v>
      </c>
      <c r="G150" s="27"/>
      <c r="H150" s="24">
        <f>480+0</f>
        <v>480</v>
      </c>
      <c r="I150" s="29">
        <f t="shared" si="13"/>
        <v>0</v>
      </c>
    </row>
    <row r="151" spans="1:9" ht="14.45" customHeight="1" x14ac:dyDescent="0.25">
      <c r="A151" s="21" t="str">
        <f>CONCATENATE("Stereo","")</f>
        <v>Stereo</v>
      </c>
      <c r="B151" s="22" t="s">
        <v>7</v>
      </c>
      <c r="C151" s="23"/>
      <c r="D151" s="24">
        <f>15+0</f>
        <v>15</v>
      </c>
      <c r="E151" s="23"/>
      <c r="F151" s="26">
        <f t="shared" si="14"/>
        <v>45</v>
      </c>
      <c r="G151" s="27"/>
      <c r="H151" s="24">
        <f>75+0</f>
        <v>75</v>
      </c>
      <c r="I151" s="29">
        <f t="shared" si="13"/>
        <v>0</v>
      </c>
    </row>
    <row r="152" spans="1:9" ht="14.45" customHeight="1" x14ac:dyDescent="0.25">
      <c r="A152" s="21" t="str">
        <f>CONCATENATE("Typewriter","")</f>
        <v>Typewriter</v>
      </c>
      <c r="B152" s="22" t="s">
        <v>7</v>
      </c>
      <c r="C152" s="23"/>
      <c r="D152" s="24">
        <f>5+0</f>
        <v>5</v>
      </c>
      <c r="E152" s="23"/>
      <c r="F152" s="26">
        <f t="shared" si="14"/>
        <v>15</v>
      </c>
      <c r="G152" s="27"/>
      <c r="H152" s="24">
        <f>25+0</f>
        <v>25</v>
      </c>
      <c r="I152" s="29">
        <f t="shared" si="13"/>
        <v>0</v>
      </c>
    </row>
    <row r="153" spans="1:9" ht="14.45" customHeight="1" x14ac:dyDescent="0.25">
      <c r="A153" s="21" t="str">
        <f>CONCATENATE("Umbrellas","")</f>
        <v>Umbrellas</v>
      </c>
      <c r="B153" s="22" t="s">
        <v>7</v>
      </c>
      <c r="C153" s="23"/>
      <c r="D153" s="24">
        <f>2+0</f>
        <v>2</v>
      </c>
      <c r="E153" s="23"/>
      <c r="F153" s="26">
        <f t="shared" si="14"/>
        <v>4</v>
      </c>
      <c r="G153" s="27"/>
      <c r="H153" s="24">
        <f>6+0</f>
        <v>6</v>
      </c>
      <c r="I153" s="29">
        <f t="shared" si="13"/>
        <v>0</v>
      </c>
    </row>
    <row r="154" spans="1:9" ht="14.45" customHeight="1" x14ac:dyDescent="0.25">
      <c r="A154" s="21" t="str">
        <f>CONCATENATE("Vacuum Cleaner","")</f>
        <v>Vacuum Cleaner</v>
      </c>
      <c r="B154" s="22" t="s">
        <v>7</v>
      </c>
      <c r="C154" s="23"/>
      <c r="D154" s="24">
        <f>15+0</f>
        <v>15</v>
      </c>
      <c r="E154" s="23"/>
      <c r="F154" s="39">
        <f t="shared" si="14"/>
        <v>40</v>
      </c>
      <c r="G154" s="27"/>
      <c r="H154" s="24">
        <f>65+0</f>
        <v>65</v>
      </c>
      <c r="I154" s="29">
        <f t="shared" si="13"/>
        <v>0</v>
      </c>
    </row>
    <row r="155" spans="1:9" ht="15" customHeight="1" thickBot="1" x14ac:dyDescent="0.3"/>
    <row r="156" spans="1:9" ht="15" customHeight="1" thickBot="1" x14ac:dyDescent="0.3">
      <c r="A156" s="7" t="str">
        <f>CONCATENATE("Sports","")</f>
        <v>Sports</v>
      </c>
      <c r="B156" s="31" t="str">
        <f>$B$6</f>
        <v>Source</v>
      </c>
      <c r="C156" s="32" t="str">
        <f>$C$6</f>
        <v>Qty</v>
      </c>
      <c r="D156" s="33" t="str">
        <f>$D$6</f>
        <v>Low</v>
      </c>
      <c r="E156" s="32" t="str">
        <f>$E$6</f>
        <v>Qty</v>
      </c>
      <c r="F156" s="33" t="str">
        <f>$F$6</f>
        <v>Avg</v>
      </c>
      <c r="G156" s="32" t="str">
        <f>$G$6</f>
        <v>Qty</v>
      </c>
      <c r="H156" s="33" t="str">
        <f>$H$6</f>
        <v>High</v>
      </c>
      <c r="I156" s="34" t="str">
        <f>$I$6</f>
        <v>Total</v>
      </c>
    </row>
    <row r="157" spans="1:9" ht="14.45" customHeight="1" x14ac:dyDescent="0.25">
      <c r="A157" s="12" t="str">
        <f>CONCATENATE("Bicycles","")</f>
        <v>Bicycles</v>
      </c>
      <c r="B157" s="13" t="s">
        <v>7</v>
      </c>
      <c r="C157" s="14"/>
      <c r="D157" s="15">
        <f>5+0</f>
        <v>5</v>
      </c>
      <c r="E157" s="14"/>
      <c r="F157" s="17">
        <f t="shared" ref="F157:F165" si="15">(D157+H157)/2</f>
        <v>42.5</v>
      </c>
      <c r="G157" s="18"/>
      <c r="H157" s="15">
        <f>80+0</f>
        <v>80</v>
      </c>
      <c r="I157" s="20">
        <f t="shared" ref="I157:I165" si="16">C157*D157+E157*F157+G157*H157</f>
        <v>0</v>
      </c>
    </row>
    <row r="158" spans="1:9" ht="14.45" customHeight="1" x14ac:dyDescent="0.25">
      <c r="A158" s="21" t="str">
        <f>CONCATENATE("Fishing Rods","")</f>
        <v>Fishing Rods</v>
      </c>
      <c r="B158" s="22" t="s">
        <v>4</v>
      </c>
      <c r="C158" s="23"/>
      <c r="D158" s="24">
        <f>6+0</f>
        <v>6</v>
      </c>
      <c r="E158" s="23"/>
      <c r="F158" s="26">
        <f t="shared" si="15"/>
        <v>18</v>
      </c>
      <c r="G158" s="27"/>
      <c r="H158" s="24">
        <f>30+0</f>
        <v>30</v>
      </c>
      <c r="I158" s="29">
        <f t="shared" si="16"/>
        <v>0</v>
      </c>
    </row>
    <row r="159" spans="1:9" ht="14.45" customHeight="1" x14ac:dyDescent="0.25">
      <c r="A159" s="21" t="str">
        <f>CONCATENATE("Golf Clubs","")</f>
        <v>Golf Clubs</v>
      </c>
      <c r="B159" s="22" t="s">
        <v>7</v>
      </c>
      <c r="C159" s="23"/>
      <c r="D159" s="24">
        <f>2+0</f>
        <v>2</v>
      </c>
      <c r="E159" s="23"/>
      <c r="F159" s="26">
        <f t="shared" si="15"/>
        <v>13.5</v>
      </c>
      <c r="G159" s="27"/>
      <c r="H159" s="24">
        <f>25+0</f>
        <v>25</v>
      </c>
      <c r="I159" s="29">
        <f t="shared" si="16"/>
        <v>0</v>
      </c>
    </row>
    <row r="160" spans="1:9" ht="14.45" customHeight="1" x14ac:dyDescent="0.25">
      <c r="A160" s="21" t="str">
        <f>CONCATENATE("Ice Skates","")</f>
        <v>Ice Skates</v>
      </c>
      <c r="B160" s="22" t="s">
        <v>7</v>
      </c>
      <c r="C160" s="23"/>
      <c r="D160" s="24">
        <f>3+0</f>
        <v>3</v>
      </c>
      <c r="E160" s="23"/>
      <c r="F160" s="26">
        <f t="shared" si="15"/>
        <v>9</v>
      </c>
      <c r="G160" s="27"/>
      <c r="H160" s="24">
        <f>15+0</f>
        <v>15</v>
      </c>
      <c r="I160" s="29">
        <f t="shared" si="16"/>
        <v>0</v>
      </c>
    </row>
    <row r="161" spans="1:9" ht="14.45" customHeight="1" x14ac:dyDescent="0.25">
      <c r="A161" s="21" t="str">
        <f>CONCATENATE("Roller Blades","")</f>
        <v>Roller Blades</v>
      </c>
      <c r="B161" s="22" t="s">
        <v>7</v>
      </c>
      <c r="C161" s="23"/>
      <c r="D161" s="24">
        <f>3+0</f>
        <v>3</v>
      </c>
      <c r="E161" s="23"/>
      <c r="F161" s="26">
        <f t="shared" si="15"/>
        <v>9</v>
      </c>
      <c r="G161" s="27"/>
      <c r="H161" s="24">
        <f>15+0</f>
        <v>15</v>
      </c>
      <c r="I161" s="29">
        <f t="shared" si="16"/>
        <v>0</v>
      </c>
    </row>
    <row r="162" spans="1:9" ht="14.45" customHeight="1" x14ac:dyDescent="0.25">
      <c r="A162" s="21" t="str">
        <f>CONCATENATE("Skis","")</f>
        <v>Skis</v>
      </c>
      <c r="B162" s="22" t="s">
        <v>4</v>
      </c>
      <c r="C162" s="23"/>
      <c r="D162" s="24">
        <f>18+0</f>
        <v>18</v>
      </c>
      <c r="E162" s="23"/>
      <c r="F162" s="26">
        <f t="shared" si="15"/>
        <v>69</v>
      </c>
      <c r="G162" s="27"/>
      <c r="H162" s="24">
        <f>120+0</f>
        <v>120</v>
      </c>
      <c r="I162" s="29">
        <f t="shared" si="16"/>
        <v>0</v>
      </c>
    </row>
    <row r="163" spans="1:9" ht="14.45" customHeight="1" x14ac:dyDescent="0.25">
      <c r="A163" s="21" t="str">
        <f>CONCATENATE("Sleds","")</f>
        <v>Sleds</v>
      </c>
      <c r="B163" s="22" t="s">
        <v>4</v>
      </c>
      <c r="C163" s="23"/>
      <c r="D163" s="24">
        <f>6+0</f>
        <v>6</v>
      </c>
      <c r="E163" s="23"/>
      <c r="F163" s="26">
        <f t="shared" si="15"/>
        <v>15</v>
      </c>
      <c r="G163" s="27"/>
      <c r="H163" s="24">
        <f>24+0</f>
        <v>24</v>
      </c>
      <c r="I163" s="29">
        <f t="shared" si="16"/>
        <v>0</v>
      </c>
    </row>
    <row r="164" spans="1:9" ht="14.45" customHeight="1" x14ac:dyDescent="0.25">
      <c r="A164" s="21" t="str">
        <f>CONCATENATE("Tennis Racket","")</f>
        <v>Tennis Racket</v>
      </c>
      <c r="B164" s="22" t="s">
        <v>7</v>
      </c>
      <c r="C164" s="23"/>
      <c r="D164" s="24">
        <f>2+0</f>
        <v>2</v>
      </c>
      <c r="E164" s="23"/>
      <c r="F164" s="26">
        <f t="shared" si="15"/>
        <v>3.5</v>
      </c>
      <c r="G164" s="27"/>
      <c r="H164" s="24">
        <f>5+0</f>
        <v>5</v>
      </c>
      <c r="I164" s="29">
        <f t="shared" si="16"/>
        <v>0</v>
      </c>
    </row>
    <row r="165" spans="1:9" ht="14.45" customHeight="1" x14ac:dyDescent="0.25">
      <c r="A165" s="21" t="str">
        <f>CONCATENATE("Toboggans","")</f>
        <v>Toboggans</v>
      </c>
      <c r="B165" s="22" t="s">
        <v>4</v>
      </c>
      <c r="C165" s="23"/>
      <c r="D165" s="24">
        <f>18+0</f>
        <v>18</v>
      </c>
      <c r="E165" s="23"/>
      <c r="F165" s="26">
        <f t="shared" si="15"/>
        <v>63</v>
      </c>
      <c r="G165" s="27"/>
      <c r="H165" s="24">
        <f>108+0</f>
        <v>108</v>
      </c>
      <c r="I165" s="29">
        <f t="shared" si="16"/>
        <v>0</v>
      </c>
    </row>
    <row r="166" spans="1:9" ht="15" customHeight="1" thickBot="1" x14ac:dyDescent="0.3"/>
    <row r="167" spans="1:9" ht="15" customHeight="1" thickBot="1" x14ac:dyDescent="0.3">
      <c r="A167" s="7" t="str">
        <f>CONCATENATE("Womens","")</f>
        <v>Womens</v>
      </c>
      <c r="B167" s="31" t="str">
        <f>$B$6</f>
        <v>Source</v>
      </c>
      <c r="C167" s="32" t="str">
        <f>$C$6</f>
        <v>Qty</v>
      </c>
      <c r="D167" s="33" t="str">
        <f>$D$6</f>
        <v>Low</v>
      </c>
      <c r="E167" s="32" t="str">
        <f>$E$6</f>
        <v>Qty</v>
      </c>
      <c r="F167" s="33" t="str">
        <f>$F$6</f>
        <v>Avg</v>
      </c>
      <c r="G167" s="32" t="str">
        <f>$G$6</f>
        <v>Qty</v>
      </c>
      <c r="H167" s="33" t="str">
        <f>$H$6</f>
        <v>High</v>
      </c>
      <c r="I167" s="34" t="str">
        <f>$I$6</f>
        <v>Total</v>
      </c>
    </row>
    <row r="168" spans="1:9" ht="14.45" customHeight="1" x14ac:dyDescent="0.25">
      <c r="A168" s="12" t="str">
        <f>CONCATENATE("Belts-leather","")</f>
        <v>Belts-leather</v>
      </c>
      <c r="B168" s="13" t="s">
        <v>3</v>
      </c>
      <c r="C168" s="14"/>
      <c r="D168" s="15">
        <f>5+0</f>
        <v>5</v>
      </c>
      <c r="E168" s="14"/>
      <c r="F168" s="17">
        <f>(D168+H168)/2</f>
        <v>10</v>
      </c>
      <c r="G168" s="18"/>
      <c r="H168" s="15">
        <f>15+0</f>
        <v>15</v>
      </c>
      <c r="I168" s="20">
        <f t="shared" ref="I168:I197" si="17">C168*D168+E168*F168+G168*H168</f>
        <v>0</v>
      </c>
    </row>
    <row r="169" spans="1:9" ht="14.45" customHeight="1" x14ac:dyDescent="0.25">
      <c r="A169" s="21" t="str">
        <f>CONCATENATE("Belts-other","")</f>
        <v>Belts-other</v>
      </c>
      <c r="B169" s="22" t="s">
        <v>3</v>
      </c>
      <c r="C169" s="23"/>
      <c r="D169" s="24">
        <f>2+0</f>
        <v>2</v>
      </c>
      <c r="E169" s="23"/>
      <c r="F169" s="26">
        <v>4</v>
      </c>
      <c r="G169" s="27"/>
      <c r="H169" s="24">
        <f>6+0</f>
        <v>6</v>
      </c>
      <c r="I169" s="29">
        <f t="shared" si="17"/>
        <v>0</v>
      </c>
    </row>
    <row r="170" spans="1:9" ht="14.45" customHeight="1" x14ac:dyDescent="0.25">
      <c r="A170" s="21" t="str">
        <f>CONCATENATE("Blazer","")</f>
        <v>Blazer</v>
      </c>
      <c r="B170" s="22" t="s">
        <v>3</v>
      </c>
      <c r="C170" s="23"/>
      <c r="D170" s="24">
        <f>6+0</f>
        <v>6</v>
      </c>
      <c r="E170" s="23"/>
      <c r="F170" s="26">
        <f t="shared" ref="F170:F197" si="18">(D170+H170)/2</f>
        <v>9</v>
      </c>
      <c r="G170" s="27"/>
      <c r="H170" s="24">
        <f>12+0</f>
        <v>12</v>
      </c>
      <c r="I170" s="29">
        <f t="shared" si="17"/>
        <v>0</v>
      </c>
    </row>
    <row r="171" spans="1:9" ht="14.45" customHeight="1" x14ac:dyDescent="0.25">
      <c r="A171" s="21" t="str">
        <f>CONCATENATE("Blouses","")</f>
        <v>Blouses</v>
      </c>
      <c r="B171" s="22" t="s">
        <v>3</v>
      </c>
      <c r="C171" s="23"/>
      <c r="D171" s="24">
        <f>2+0</f>
        <v>2</v>
      </c>
      <c r="E171" s="23"/>
      <c r="F171" s="26">
        <f t="shared" si="18"/>
        <v>7</v>
      </c>
      <c r="G171" s="27"/>
      <c r="H171" s="24">
        <f>12+0</f>
        <v>12</v>
      </c>
      <c r="I171" s="29">
        <f t="shared" si="17"/>
        <v>0</v>
      </c>
    </row>
    <row r="172" spans="1:9" ht="14.45" customHeight="1" x14ac:dyDescent="0.25">
      <c r="A172" s="21" t="str">
        <f>CONCATENATE("Boots-ankle","")</f>
        <v>Boots-ankle</v>
      </c>
      <c r="B172" s="22" t="s">
        <v>3</v>
      </c>
      <c r="C172" s="23"/>
      <c r="D172" s="24">
        <f>6+0</f>
        <v>6</v>
      </c>
      <c r="E172" s="23"/>
      <c r="F172" s="26">
        <f t="shared" si="18"/>
        <v>12</v>
      </c>
      <c r="G172" s="27"/>
      <c r="H172" s="24">
        <f>18+0</f>
        <v>18</v>
      </c>
      <c r="I172" s="29">
        <f t="shared" si="17"/>
        <v>0</v>
      </c>
    </row>
    <row r="173" spans="1:9" ht="14.45" customHeight="1" x14ac:dyDescent="0.25">
      <c r="A173" s="21" t="str">
        <f>CONCATENATE("Coats","")</f>
        <v>Coats</v>
      </c>
      <c r="B173" s="22" t="s">
        <v>3</v>
      </c>
      <c r="C173" s="23"/>
      <c r="D173" s="24">
        <f>7+0</f>
        <v>7</v>
      </c>
      <c r="E173" s="23"/>
      <c r="F173" s="26">
        <f t="shared" si="18"/>
        <v>23.5</v>
      </c>
      <c r="G173" s="27"/>
      <c r="H173" s="24">
        <f>40+0</f>
        <v>40</v>
      </c>
      <c r="I173" s="29">
        <f t="shared" si="17"/>
        <v>0</v>
      </c>
    </row>
    <row r="174" spans="1:9" ht="14.45" customHeight="1" x14ac:dyDescent="0.25">
      <c r="A174" s="21" t="str">
        <f>CONCATENATE("Dresses","")</f>
        <v>Dresses</v>
      </c>
      <c r="B174" s="22" t="s">
        <v>3</v>
      </c>
      <c r="C174" s="23"/>
      <c r="D174" s="24">
        <f>3+0</f>
        <v>3</v>
      </c>
      <c r="E174" s="23"/>
      <c r="F174" s="26">
        <f t="shared" si="18"/>
        <v>10</v>
      </c>
      <c r="G174" s="27"/>
      <c r="H174" s="24">
        <f>17+0</f>
        <v>17</v>
      </c>
      <c r="I174" s="29">
        <f t="shared" si="17"/>
        <v>0</v>
      </c>
    </row>
    <row r="175" spans="1:9" ht="14.45" customHeight="1" x14ac:dyDescent="0.25">
      <c r="A175" s="21" t="str">
        <f>CONCATENATE("Dresses-evening","")</f>
        <v>Dresses-evening</v>
      </c>
      <c r="B175" s="22" t="s">
        <v>3</v>
      </c>
      <c r="C175" s="23"/>
      <c r="D175" s="24">
        <f>10+0</f>
        <v>10</v>
      </c>
      <c r="E175" s="23"/>
      <c r="F175" s="26">
        <f t="shared" si="18"/>
        <v>20</v>
      </c>
      <c r="G175" s="27"/>
      <c r="H175" s="24">
        <f>30+0</f>
        <v>30</v>
      </c>
      <c r="I175" s="29">
        <f t="shared" si="17"/>
        <v>0</v>
      </c>
    </row>
    <row r="176" spans="1:9" ht="14.45" customHeight="1" x14ac:dyDescent="0.25">
      <c r="A176" s="21" t="str">
        <f>CONCATENATE("Handbags","")</f>
        <v>Handbags</v>
      </c>
      <c r="B176" s="22" t="s">
        <v>3</v>
      </c>
      <c r="C176" s="23"/>
      <c r="D176" s="24">
        <f>3+0</f>
        <v>3</v>
      </c>
      <c r="E176" s="23"/>
      <c r="F176" s="26">
        <f t="shared" si="18"/>
        <v>6</v>
      </c>
      <c r="G176" s="27"/>
      <c r="H176" s="24">
        <f>9+0</f>
        <v>9</v>
      </c>
      <c r="I176" s="29">
        <f t="shared" si="17"/>
        <v>0</v>
      </c>
    </row>
    <row r="177" spans="1:9" ht="14.45" customHeight="1" x14ac:dyDescent="0.25">
      <c r="A177" s="21" t="str">
        <f>CONCATENATE("Jeans","")</f>
        <v>Jeans</v>
      </c>
      <c r="B177" s="22" t="s">
        <v>3</v>
      </c>
      <c r="C177" s="23"/>
      <c r="D177" s="24">
        <f>4+0</f>
        <v>4</v>
      </c>
      <c r="E177" s="23"/>
      <c r="F177" s="26">
        <f t="shared" si="18"/>
        <v>12.5</v>
      </c>
      <c r="G177" s="27"/>
      <c r="H177" s="24">
        <f>21+0</f>
        <v>21</v>
      </c>
      <c r="I177" s="29">
        <f t="shared" si="17"/>
        <v>0</v>
      </c>
    </row>
    <row r="178" spans="1:9" ht="14.45" customHeight="1" x14ac:dyDescent="0.25">
      <c r="A178" s="21" t="str">
        <f>CONCATENATE("Luggage","")</f>
        <v>Luggage</v>
      </c>
      <c r="B178" s="22" t="s">
        <v>3</v>
      </c>
      <c r="C178" s="23"/>
      <c r="D178" s="24">
        <f>5+0</f>
        <v>5</v>
      </c>
      <c r="E178" s="23"/>
      <c r="F178" s="26">
        <f t="shared" si="18"/>
        <v>10</v>
      </c>
      <c r="G178" s="27"/>
      <c r="H178" s="24">
        <f>15+0</f>
        <v>15</v>
      </c>
      <c r="I178" s="29">
        <f t="shared" si="17"/>
        <v>0</v>
      </c>
    </row>
    <row r="179" spans="1:9" ht="14.45" customHeight="1" x14ac:dyDescent="0.25">
      <c r="A179" s="21" t="str">
        <f>CONCATENATE("Nightgowns","")</f>
        <v>Nightgowns</v>
      </c>
      <c r="B179" s="22" t="s">
        <v>3</v>
      </c>
      <c r="C179" s="23"/>
      <c r="D179" s="24">
        <f>2+0</f>
        <v>2</v>
      </c>
      <c r="E179" s="23"/>
      <c r="F179" s="26">
        <f t="shared" si="18"/>
        <v>6</v>
      </c>
      <c r="G179" s="27"/>
      <c r="H179" s="24">
        <f>10+0</f>
        <v>10</v>
      </c>
      <c r="I179" s="29">
        <f t="shared" si="17"/>
        <v>0</v>
      </c>
    </row>
    <row r="180" spans="1:9" ht="14.45" customHeight="1" x14ac:dyDescent="0.25">
      <c r="A180" s="21" t="str">
        <f>CONCATENATE("Pajamas","")</f>
        <v>Pajamas</v>
      </c>
      <c r="B180" s="22" t="s">
        <v>3</v>
      </c>
      <c r="C180" s="23"/>
      <c r="D180" s="24">
        <f>2+0</f>
        <v>2</v>
      </c>
      <c r="E180" s="23"/>
      <c r="F180" s="26">
        <f t="shared" si="18"/>
        <v>6</v>
      </c>
      <c r="G180" s="27"/>
      <c r="H180" s="24">
        <f>10+0</f>
        <v>10</v>
      </c>
      <c r="I180" s="29">
        <f t="shared" si="17"/>
        <v>0</v>
      </c>
    </row>
    <row r="181" spans="1:9" ht="14.45" customHeight="1" x14ac:dyDescent="0.25">
      <c r="A181" s="21" t="str">
        <f>CONCATENATE("Pants-casual","")</f>
        <v>Pants-casual</v>
      </c>
      <c r="B181" s="22" t="s">
        <v>3</v>
      </c>
      <c r="C181" s="23"/>
      <c r="D181" s="24">
        <f>2+0</f>
        <v>2</v>
      </c>
      <c r="E181" s="23"/>
      <c r="F181" s="26">
        <f t="shared" si="18"/>
        <v>6</v>
      </c>
      <c r="G181" s="27"/>
      <c r="H181" s="24">
        <f>10+0</f>
        <v>10</v>
      </c>
      <c r="I181" s="29">
        <f t="shared" si="17"/>
        <v>0</v>
      </c>
    </row>
    <row r="182" spans="1:9" ht="14.45" customHeight="1" x14ac:dyDescent="0.25">
      <c r="A182" s="21" t="str">
        <f>CONCATENATE("Pants-dress","")</f>
        <v>Pants-dress</v>
      </c>
      <c r="B182" s="22" t="s">
        <v>3</v>
      </c>
      <c r="C182" s="23"/>
      <c r="D182" s="24">
        <f>2+0</f>
        <v>2</v>
      </c>
      <c r="E182" s="23"/>
      <c r="F182" s="26">
        <f t="shared" si="18"/>
        <v>6</v>
      </c>
      <c r="G182" s="27"/>
      <c r="H182" s="24">
        <f>10+0</f>
        <v>10</v>
      </c>
      <c r="I182" s="29">
        <f t="shared" si="17"/>
        <v>0</v>
      </c>
    </row>
    <row r="183" spans="1:9" ht="14.45" customHeight="1" x14ac:dyDescent="0.25">
      <c r="A183" s="21" t="str">
        <f>CONCATENATE("Robe","")</f>
        <v>Robe</v>
      </c>
      <c r="B183" s="22" t="s">
        <v>3</v>
      </c>
      <c r="C183" s="23"/>
      <c r="D183" s="24">
        <f>2+0</f>
        <v>2</v>
      </c>
      <c r="E183" s="23"/>
      <c r="F183" s="26">
        <f t="shared" si="18"/>
        <v>6</v>
      </c>
      <c r="G183" s="27"/>
      <c r="H183" s="24">
        <f>10+0</f>
        <v>10</v>
      </c>
      <c r="I183" s="29">
        <f t="shared" si="17"/>
        <v>0</v>
      </c>
    </row>
    <row r="184" spans="1:9" ht="14.45" customHeight="1" x14ac:dyDescent="0.25">
      <c r="A184" s="21" t="str">
        <f>CONCATENATE("Sandals/Slippers","")</f>
        <v>Sandals/Slippers</v>
      </c>
      <c r="B184" s="22" t="s">
        <v>3</v>
      </c>
      <c r="C184" s="23"/>
      <c r="D184" s="24">
        <f>4+0</f>
        <v>4</v>
      </c>
      <c r="E184" s="23"/>
      <c r="F184" s="26">
        <f t="shared" si="18"/>
        <v>6.5</v>
      </c>
      <c r="G184" s="27"/>
      <c r="H184" s="24">
        <f>9+0</f>
        <v>9</v>
      </c>
      <c r="I184" s="29">
        <f t="shared" si="17"/>
        <v>0</v>
      </c>
    </row>
    <row r="185" spans="1:9" ht="14.45" customHeight="1" x14ac:dyDescent="0.25">
      <c r="A185" s="21" t="str">
        <f>CONCATENATE("Shoes-tennis","")</f>
        <v>Shoes-tennis</v>
      </c>
      <c r="B185" s="22" t="s">
        <v>3</v>
      </c>
      <c r="C185" s="23"/>
      <c r="D185" s="24">
        <f>4+0</f>
        <v>4</v>
      </c>
      <c r="E185" s="23"/>
      <c r="F185" s="26">
        <f t="shared" si="18"/>
        <v>6.5</v>
      </c>
      <c r="G185" s="27"/>
      <c r="H185" s="24">
        <f>9+0</f>
        <v>9</v>
      </c>
      <c r="I185" s="29">
        <f t="shared" si="17"/>
        <v>0</v>
      </c>
    </row>
    <row r="186" spans="1:9" ht="14.45" customHeight="1" x14ac:dyDescent="0.25">
      <c r="A186" s="21" t="str">
        <f>CONCATENATE("Shorts","")</f>
        <v>Shorts</v>
      </c>
      <c r="B186" s="22" t="s">
        <v>3</v>
      </c>
      <c r="C186" s="23"/>
      <c r="D186" s="24">
        <f>1+0</f>
        <v>1</v>
      </c>
      <c r="E186" s="23"/>
      <c r="F186" s="26">
        <f t="shared" si="18"/>
        <v>5</v>
      </c>
      <c r="G186" s="27"/>
      <c r="H186" s="24">
        <f>9+0</f>
        <v>9</v>
      </c>
      <c r="I186" s="29">
        <f t="shared" si="17"/>
        <v>0</v>
      </c>
    </row>
    <row r="187" spans="1:9" ht="14.45" customHeight="1" x14ac:dyDescent="0.25">
      <c r="A187" s="21" t="str">
        <f>CONCATENATE("Skirts","")</f>
        <v>Skirts</v>
      </c>
      <c r="B187" s="22" t="s">
        <v>3</v>
      </c>
      <c r="C187" s="23"/>
      <c r="D187" s="24">
        <f>2+0</f>
        <v>2</v>
      </c>
      <c r="E187" s="23"/>
      <c r="F187" s="26">
        <f t="shared" si="18"/>
        <v>7</v>
      </c>
      <c r="G187" s="27"/>
      <c r="H187" s="24">
        <f>12+0</f>
        <v>12</v>
      </c>
      <c r="I187" s="29">
        <f t="shared" si="17"/>
        <v>0</v>
      </c>
    </row>
    <row r="188" spans="1:9" ht="14.45" customHeight="1" x14ac:dyDescent="0.25">
      <c r="A188" s="21" t="str">
        <f>CONCATENATE("Sportcoats","")</f>
        <v>Sportcoats</v>
      </c>
      <c r="B188" s="22" t="s">
        <v>3</v>
      </c>
      <c r="C188" s="23"/>
      <c r="D188" s="24">
        <f>6+0</f>
        <v>6</v>
      </c>
      <c r="E188" s="23"/>
      <c r="F188" s="26">
        <f t="shared" si="18"/>
        <v>9</v>
      </c>
      <c r="G188" s="27"/>
      <c r="H188" s="24">
        <f>12+0</f>
        <v>12</v>
      </c>
      <c r="I188" s="29">
        <f t="shared" si="17"/>
        <v>0</v>
      </c>
    </row>
    <row r="189" spans="1:9" ht="14.45" customHeight="1" x14ac:dyDescent="0.25">
      <c r="A189" s="21" t="str">
        <f>CONCATENATE("Suits-2 piece","")</f>
        <v>Suits-2 piece</v>
      </c>
      <c r="B189" s="22" t="s">
        <v>3</v>
      </c>
      <c r="C189" s="23"/>
      <c r="D189" s="24">
        <f>5+0</f>
        <v>5</v>
      </c>
      <c r="E189" s="23"/>
      <c r="F189" s="26">
        <f t="shared" si="18"/>
        <v>17.5</v>
      </c>
      <c r="G189" s="27"/>
      <c r="H189" s="24">
        <f>30+0</f>
        <v>30</v>
      </c>
      <c r="I189" s="29">
        <f t="shared" si="17"/>
        <v>0</v>
      </c>
    </row>
    <row r="190" spans="1:9" ht="14.45" customHeight="1" x14ac:dyDescent="0.25">
      <c r="A190" s="21" t="str">
        <f>CONCATENATE("Sweaters","")</f>
        <v>Sweaters</v>
      </c>
      <c r="B190" s="22" t="s">
        <v>3</v>
      </c>
      <c r="C190" s="23"/>
      <c r="D190" s="24">
        <f>5+0</f>
        <v>5</v>
      </c>
      <c r="E190" s="23"/>
      <c r="F190" s="26">
        <f t="shared" si="18"/>
        <v>10</v>
      </c>
      <c r="G190" s="27"/>
      <c r="H190" s="24">
        <f>15+0</f>
        <v>15</v>
      </c>
      <c r="I190" s="29">
        <f t="shared" si="17"/>
        <v>0</v>
      </c>
    </row>
    <row r="191" spans="1:9" ht="14.45" customHeight="1" x14ac:dyDescent="0.25">
      <c r="A191" s="21" t="str">
        <f>CONCATENATE("Sweats -bottom","")</f>
        <v>Sweats -bottom</v>
      </c>
      <c r="B191" s="22" t="s">
        <v>3</v>
      </c>
      <c r="C191" s="23"/>
      <c r="D191" s="24">
        <f>2+0</f>
        <v>2</v>
      </c>
      <c r="E191" s="23"/>
      <c r="F191" s="26">
        <f t="shared" si="18"/>
        <v>7</v>
      </c>
      <c r="G191" s="27"/>
      <c r="H191" s="24">
        <f>12+0</f>
        <v>12</v>
      </c>
      <c r="I191" s="29">
        <f t="shared" si="17"/>
        <v>0</v>
      </c>
    </row>
    <row r="192" spans="1:9" ht="14.45" customHeight="1" x14ac:dyDescent="0.25">
      <c r="A192" s="21" t="str">
        <f>CONCATENATE("Sweats-top","")</f>
        <v>Sweats-top</v>
      </c>
      <c r="B192" s="22" t="s">
        <v>3</v>
      </c>
      <c r="C192" s="23"/>
      <c r="D192" s="24">
        <f>2+0</f>
        <v>2</v>
      </c>
      <c r="E192" s="23"/>
      <c r="F192" s="26">
        <f t="shared" si="18"/>
        <v>7</v>
      </c>
      <c r="G192" s="27"/>
      <c r="H192" s="24">
        <f>12+0</f>
        <v>12</v>
      </c>
      <c r="I192" s="29">
        <f t="shared" si="17"/>
        <v>0</v>
      </c>
    </row>
    <row r="193" spans="1:10" ht="14.45" customHeight="1" x14ac:dyDescent="0.25">
      <c r="A193" s="21" t="str">
        <f>CONCATENATE("Swimwear","")</f>
        <v>Swimwear</v>
      </c>
      <c r="B193" s="22" t="s">
        <v>3</v>
      </c>
      <c r="C193" s="23"/>
      <c r="D193" s="24">
        <f>4+0</f>
        <v>4</v>
      </c>
      <c r="E193" s="23"/>
      <c r="F193" s="26">
        <f t="shared" si="18"/>
        <v>8</v>
      </c>
      <c r="G193" s="27"/>
      <c r="H193" s="24">
        <f>12+0</f>
        <v>12</v>
      </c>
      <c r="I193" s="29">
        <f t="shared" si="17"/>
        <v>0</v>
      </c>
      <c r="J193" s="40"/>
    </row>
    <row r="194" spans="1:10" ht="14.45" customHeight="1" x14ac:dyDescent="0.25">
      <c r="A194" s="21" t="str">
        <f>CONCATENATE("Tanks","")</f>
        <v>Tanks</v>
      </c>
      <c r="B194" s="22" t="s">
        <v>3</v>
      </c>
      <c r="C194" s="23"/>
      <c r="D194" s="24">
        <f>1+0</f>
        <v>1</v>
      </c>
      <c r="E194" s="23"/>
      <c r="F194" s="26">
        <f t="shared" si="18"/>
        <v>3.5</v>
      </c>
      <c r="G194" s="27"/>
      <c r="H194" s="24">
        <f>6+0</f>
        <v>6</v>
      </c>
      <c r="I194" s="29">
        <f t="shared" si="17"/>
        <v>0</v>
      </c>
    </row>
    <row r="195" spans="1:10" ht="14.45" customHeight="1" x14ac:dyDescent="0.25">
      <c r="A195" s="21" t="str">
        <f>CONCATENATE("T-Shirts","")</f>
        <v>T-Shirts</v>
      </c>
      <c r="B195" s="22" t="s">
        <v>3</v>
      </c>
      <c r="C195" s="23"/>
      <c r="D195" s="24">
        <f>1+0</f>
        <v>1</v>
      </c>
      <c r="E195" s="23"/>
      <c r="F195" s="26">
        <f t="shared" si="18"/>
        <v>3.5</v>
      </c>
      <c r="G195" s="27"/>
      <c r="H195" s="24">
        <f>6+0</f>
        <v>6</v>
      </c>
      <c r="I195" s="29">
        <f t="shared" si="17"/>
        <v>0</v>
      </c>
    </row>
    <row r="196" spans="1:10" ht="14.45" customHeight="1" x14ac:dyDescent="0.25">
      <c r="A196" s="21" t="str">
        <f>CONCATENATE("Vests","")</f>
        <v>Vests</v>
      </c>
      <c r="B196" s="22" t="s">
        <v>3</v>
      </c>
      <c r="C196" s="23"/>
      <c r="D196" s="24">
        <f>3+0</f>
        <v>3</v>
      </c>
      <c r="E196" s="23"/>
      <c r="F196" s="26">
        <f t="shared" si="18"/>
        <v>6</v>
      </c>
      <c r="G196" s="27"/>
      <c r="H196" s="24">
        <f>9+0</f>
        <v>9</v>
      </c>
      <c r="I196" s="29">
        <f t="shared" si="17"/>
        <v>0</v>
      </c>
    </row>
    <row r="197" spans="1:10" ht="14.45" customHeight="1" x14ac:dyDescent="0.25">
      <c r="A197" s="21" t="str">
        <f>CONCATENATE("Wallets","")</f>
        <v>Wallets</v>
      </c>
      <c r="B197" s="22" t="s">
        <v>3</v>
      </c>
      <c r="C197" s="23"/>
      <c r="D197" s="24">
        <f>2+0</f>
        <v>2</v>
      </c>
      <c r="E197" s="23"/>
      <c r="F197" s="17">
        <f t="shared" si="18"/>
        <v>4</v>
      </c>
      <c r="G197" s="27"/>
      <c r="H197" s="24">
        <f>6+0</f>
        <v>6</v>
      </c>
      <c r="I197" s="29">
        <f t="shared" si="17"/>
        <v>0</v>
      </c>
    </row>
    <row r="198" spans="1:10" ht="15" customHeight="1" thickBot="1" x14ac:dyDescent="0.3"/>
    <row r="199" spans="1:10" ht="15" customHeight="1" thickBot="1" x14ac:dyDescent="0.3">
      <c r="A199" s="67" t="str">
        <f>CONCATENATE("Other Items not available above(Enter you own quantity and Est Values)","")</f>
        <v>Other Items not available above(Enter you own quantity and Est Values)</v>
      </c>
      <c r="B199" s="67"/>
      <c r="C199" s="67"/>
      <c r="D199" s="67"/>
      <c r="E199" s="67"/>
      <c r="F199" s="67"/>
      <c r="G199" s="41" t="str">
        <f>$G$6</f>
        <v>Qty</v>
      </c>
      <c r="H199" s="42" t="str">
        <f>CONCATENATE("Value","")</f>
        <v>Value</v>
      </c>
      <c r="I199" s="42" t="s">
        <v>0</v>
      </c>
    </row>
    <row r="200" spans="1:10" ht="15" customHeight="1" thickBot="1" x14ac:dyDescent="0.25">
      <c r="A200" s="68" t="s">
        <v>2</v>
      </c>
      <c r="B200" s="68"/>
      <c r="C200" s="68"/>
      <c r="D200" s="68"/>
      <c r="E200" s="68"/>
      <c r="F200" s="68"/>
      <c r="G200" s="43"/>
      <c r="H200" s="44"/>
      <c r="I200" s="45">
        <f t="shared" ref="I200:I208" si="19">G200*H200</f>
        <v>0</v>
      </c>
    </row>
    <row r="201" spans="1:10" ht="15" customHeight="1" thickBot="1" x14ac:dyDescent="0.25">
      <c r="A201" s="65" t="s">
        <v>2</v>
      </c>
      <c r="B201" s="65"/>
      <c r="C201" s="65"/>
      <c r="D201" s="65"/>
      <c r="E201" s="65"/>
      <c r="F201" s="65"/>
      <c r="G201" s="46"/>
      <c r="H201" s="47"/>
      <c r="I201" s="48">
        <f t="shared" si="19"/>
        <v>0</v>
      </c>
    </row>
    <row r="202" spans="1:10" ht="15" customHeight="1" thickBot="1" x14ac:dyDescent="0.25">
      <c r="A202" s="65" t="s">
        <v>2</v>
      </c>
      <c r="B202" s="65"/>
      <c r="C202" s="65"/>
      <c r="D202" s="65"/>
      <c r="E202" s="65"/>
      <c r="F202" s="65"/>
      <c r="G202" s="46"/>
      <c r="H202" s="47"/>
      <c r="I202" s="48">
        <f t="shared" si="19"/>
        <v>0</v>
      </c>
    </row>
    <row r="203" spans="1:10" ht="15" customHeight="1" thickBot="1" x14ac:dyDescent="0.25">
      <c r="A203" s="65" t="s">
        <v>2</v>
      </c>
      <c r="B203" s="65"/>
      <c r="C203" s="65"/>
      <c r="D203" s="65"/>
      <c r="E203" s="65"/>
      <c r="F203" s="65"/>
      <c r="G203" s="46"/>
      <c r="H203" s="47"/>
      <c r="I203" s="48">
        <f t="shared" si="19"/>
        <v>0</v>
      </c>
    </row>
    <row r="204" spans="1:10" ht="15" customHeight="1" thickBot="1" x14ac:dyDescent="0.25">
      <c r="A204" s="65" t="s">
        <v>2</v>
      </c>
      <c r="B204" s="65"/>
      <c r="C204" s="65"/>
      <c r="D204" s="65"/>
      <c r="E204" s="65"/>
      <c r="F204" s="65"/>
      <c r="G204" s="46"/>
      <c r="H204" s="47"/>
      <c r="I204" s="48">
        <f t="shared" si="19"/>
        <v>0</v>
      </c>
    </row>
    <row r="205" spans="1:10" ht="15" customHeight="1" thickBot="1" x14ac:dyDescent="0.25">
      <c r="A205" s="65" t="s">
        <v>2</v>
      </c>
      <c r="B205" s="65"/>
      <c r="C205" s="65"/>
      <c r="D205" s="65"/>
      <c r="E205" s="65"/>
      <c r="F205" s="65"/>
      <c r="G205" s="46"/>
      <c r="H205" s="47"/>
      <c r="I205" s="48">
        <f t="shared" si="19"/>
        <v>0</v>
      </c>
    </row>
    <row r="206" spans="1:10" ht="15" customHeight="1" thickBot="1" x14ac:dyDescent="0.25">
      <c r="A206" s="65" t="s">
        <v>2</v>
      </c>
      <c r="B206" s="65"/>
      <c r="C206" s="65"/>
      <c r="D206" s="65"/>
      <c r="E206" s="65"/>
      <c r="F206" s="65"/>
      <c r="G206" s="46"/>
      <c r="H206" s="47"/>
      <c r="I206" s="48">
        <f t="shared" si="19"/>
        <v>0</v>
      </c>
    </row>
    <row r="207" spans="1:10" ht="15" customHeight="1" thickBot="1" x14ac:dyDescent="0.25">
      <c r="A207" s="65" t="s">
        <v>2</v>
      </c>
      <c r="B207" s="65"/>
      <c r="C207" s="65"/>
      <c r="D207" s="65"/>
      <c r="E207" s="65"/>
      <c r="F207" s="65"/>
      <c r="G207" s="46"/>
      <c r="H207" s="47"/>
      <c r="I207" s="48">
        <f t="shared" si="19"/>
        <v>0</v>
      </c>
    </row>
    <row r="208" spans="1:10" ht="15" customHeight="1" thickBot="1" x14ac:dyDescent="0.25">
      <c r="A208" s="63" t="s">
        <v>2</v>
      </c>
      <c r="B208" s="63"/>
      <c r="C208" s="63"/>
      <c r="D208" s="63"/>
      <c r="E208" s="63"/>
      <c r="F208" s="63"/>
      <c r="G208" s="49"/>
      <c r="H208" s="50"/>
      <c r="I208" s="48">
        <f t="shared" si="19"/>
        <v>0</v>
      </c>
    </row>
    <row r="210" spans="1:9" ht="14.45" customHeight="1" x14ac:dyDescent="0.25">
      <c r="A210" s="51" t="str">
        <f>CONCATENATE("Summary of Items Donated","")</f>
        <v>Summary of Items Donated</v>
      </c>
      <c r="B210" s="52" t="str">
        <f>CONCATENATE("Total","")</f>
        <v>Total</v>
      </c>
      <c r="C210" s="53"/>
      <c r="D210" s="53"/>
      <c r="E210" s="53"/>
      <c r="F210" s="53"/>
      <c r="G210" s="53"/>
      <c r="H210" s="54" t="s">
        <v>2</v>
      </c>
      <c r="I210" s="55" t="s">
        <v>2</v>
      </c>
    </row>
    <row r="211" spans="1:9" ht="14.45" customHeight="1" x14ac:dyDescent="0.25">
      <c r="A211" s="21" t="str">
        <f>CONCATENATE("Applicances","")</f>
        <v>Applicances</v>
      </c>
      <c r="B211" s="56">
        <f>SUM(I7:I17)</f>
        <v>0</v>
      </c>
    </row>
    <row r="212" spans="1:9" ht="14.45" customHeight="1" x14ac:dyDescent="0.25">
      <c r="A212" s="21" t="str">
        <f>CONCATENATE("Childrens","")</f>
        <v>Childrens</v>
      </c>
      <c r="B212" s="56">
        <f>SUM(I20:I44)</f>
        <v>0</v>
      </c>
    </row>
    <row r="213" spans="1:9" ht="14.45" customHeight="1" x14ac:dyDescent="0.25">
      <c r="A213" s="21" t="str">
        <f>CONCATENATE("Furniture","")</f>
        <v>Furniture</v>
      </c>
      <c r="B213" s="56">
        <f>SUM(I48:I78)</f>
        <v>0</v>
      </c>
    </row>
    <row r="214" spans="1:9" ht="14.45" customHeight="1" x14ac:dyDescent="0.25">
      <c r="A214" s="21" t="str">
        <f>CONCATENATE("Household","")</f>
        <v>Household</v>
      </c>
      <c r="B214" s="56">
        <f>SUM(I81:I102)</f>
        <v>0</v>
      </c>
    </row>
    <row r="215" spans="1:9" ht="14.45" customHeight="1" x14ac:dyDescent="0.25">
      <c r="A215" s="21" t="str">
        <f>CONCATENATE("Mens","")</f>
        <v>Mens</v>
      </c>
      <c r="B215" s="56">
        <f>SUM(I105:I130)</f>
        <v>0</v>
      </c>
    </row>
    <row r="216" spans="1:9" ht="14.45" customHeight="1" x14ac:dyDescent="0.25">
      <c r="A216" s="21" t="str">
        <f>CONCATENATE("Miscellaneous","")</f>
        <v>Miscellaneous</v>
      </c>
      <c r="B216" s="56">
        <f>SUM(I133:I154)</f>
        <v>0</v>
      </c>
    </row>
    <row r="217" spans="1:9" ht="14.45" customHeight="1" x14ac:dyDescent="0.25">
      <c r="A217" s="21" t="str">
        <f>CONCATENATE("Sports","")</f>
        <v>Sports</v>
      </c>
      <c r="B217" s="56">
        <f>SUM(I157:I165)</f>
        <v>0</v>
      </c>
    </row>
    <row r="218" spans="1:9" ht="14.45" customHeight="1" x14ac:dyDescent="0.25">
      <c r="A218" s="21" t="str">
        <f>CONCATENATE("Womens","")</f>
        <v>Womens</v>
      </c>
      <c r="B218" s="56">
        <f>SUM(I168:I197)</f>
        <v>0</v>
      </c>
    </row>
    <row r="219" spans="1:9" ht="15" customHeight="1" thickBot="1" x14ac:dyDescent="0.3">
      <c r="A219" s="57" t="str">
        <f>CONCATENATE("Other","")</f>
        <v>Other</v>
      </c>
      <c r="B219" s="58">
        <f>SUM(I200:I208)</f>
        <v>0</v>
      </c>
    </row>
    <row r="220" spans="1:9" ht="16.899999999999999" customHeight="1" thickTop="1" thickBot="1" x14ac:dyDescent="0.3">
      <c r="A220" s="59" t="str">
        <f>CONCATENATE("Grand Total","")</f>
        <v>Grand Total</v>
      </c>
      <c r="B220" s="60">
        <f>SUM(B211:B219)</f>
        <v>0</v>
      </c>
      <c r="D220" s="64" t="str">
        <f>CONCATENATE("Estimated Cost of All Items","")</f>
        <v>Estimated Cost of All Items</v>
      </c>
      <c r="E220" s="64"/>
      <c r="F220" s="64"/>
      <c r="G220" s="64"/>
      <c r="H220" s="64"/>
      <c r="I220" s="61">
        <v>0</v>
      </c>
    </row>
    <row r="221" spans="1:9" ht="15" customHeight="1" thickTop="1" x14ac:dyDescent="0.25"/>
  </sheetData>
  <mergeCells count="17">
    <mergeCell ref="A205:F205"/>
    <mergeCell ref="A206:F206"/>
    <mergeCell ref="A207:F207"/>
    <mergeCell ref="A208:F208"/>
    <mergeCell ref="D220:H220"/>
    <mergeCell ref="A199:F199"/>
    <mergeCell ref="A200:F200"/>
    <mergeCell ref="A201:F201"/>
    <mergeCell ref="A202:F202"/>
    <mergeCell ref="A203:F203"/>
    <mergeCell ref="A204:F204"/>
    <mergeCell ref="A1:I1"/>
    <mergeCell ref="B2:F2"/>
    <mergeCell ref="G2:H2"/>
    <mergeCell ref="B3:F3"/>
    <mergeCell ref="G3:H3"/>
    <mergeCell ref="B4:I4"/>
  </mergeCells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tabSelected="1" workbookViewId="0">
      <selection activeCell="O20" sqref="O20"/>
    </sheetView>
  </sheetViews>
  <sheetFormatPr defaultRowHeight="14.45" customHeight="1" x14ac:dyDescent="0.25"/>
  <cols>
    <col min="1" max="1" width="25" style="1" customWidth="1"/>
    <col min="2" max="2" width="7.42578125" style="1" customWidth="1"/>
    <col min="3" max="3" width="6.7109375" style="1" customWidth="1"/>
    <col min="4" max="5" width="5" style="1" customWidth="1"/>
    <col min="6" max="7" width="5.5703125" style="1" customWidth="1"/>
    <col min="8" max="8" width="5.85546875" style="1" customWidth="1"/>
  </cols>
  <sheetData>
    <row r="1" spans="1:9" ht="16.149999999999999" customHeight="1" x14ac:dyDescent="0.25">
      <c r="A1" s="69" t="str">
        <f>CONCATENATE("Non-Cash Donations Calculator ","")</f>
        <v xml:space="preserve">Non-Cash Donations Calculator </v>
      </c>
      <c r="B1" s="69"/>
      <c r="C1" s="69"/>
      <c r="D1" s="69"/>
      <c r="E1" s="69"/>
      <c r="F1" s="69"/>
      <c r="G1" s="69"/>
      <c r="H1" s="69"/>
      <c r="I1" s="69"/>
    </row>
    <row r="2" spans="1:9" ht="15.6" customHeight="1" x14ac:dyDescent="0.2">
      <c r="A2" s="2" t="str">
        <f>CONCATENATE("Donated By","")</f>
        <v>Donated By</v>
      </c>
      <c r="B2" s="70"/>
      <c r="C2" s="70"/>
      <c r="D2" s="70"/>
      <c r="E2" s="70"/>
      <c r="F2" s="70"/>
      <c r="G2" s="71" t="str">
        <f>CONCATENATE("Tax Year","")</f>
        <v>Tax Year</v>
      </c>
      <c r="H2" s="71"/>
      <c r="I2" s="3"/>
    </row>
    <row r="3" spans="1:9" ht="15.6" customHeight="1" x14ac:dyDescent="0.2">
      <c r="A3" s="2" t="str">
        <f>CONCATENATE("Charity Name","")</f>
        <v>Charity Name</v>
      </c>
      <c r="B3" s="70"/>
      <c r="C3" s="70"/>
      <c r="D3" s="70"/>
      <c r="E3" s="70"/>
      <c r="F3" s="70"/>
      <c r="G3" s="72" t="str">
        <f>CONCATENATE("Donate Date","")</f>
        <v>Donate Date</v>
      </c>
      <c r="H3" s="72"/>
      <c r="I3" s="4"/>
    </row>
    <row r="4" spans="1:9" ht="15.6" customHeight="1" x14ac:dyDescent="0.2">
      <c r="A4" s="2" t="str">
        <f>CONCATENATE("Charity Address","")</f>
        <v>Charity Address</v>
      </c>
      <c r="B4" s="66"/>
      <c r="C4" s="66"/>
      <c r="D4" s="66"/>
      <c r="E4" s="66"/>
      <c r="F4" s="66"/>
      <c r="G4" s="66"/>
      <c r="H4" s="66"/>
      <c r="I4" s="66"/>
    </row>
    <row r="5" spans="1:9" ht="15.6" customHeight="1" x14ac:dyDescent="0.2">
      <c r="A5" s="5"/>
      <c r="B5" s="6"/>
      <c r="C5" s="6"/>
      <c r="D5" s="6"/>
      <c r="E5" s="6"/>
      <c r="F5" s="6"/>
      <c r="G5" s="6"/>
      <c r="H5" s="6"/>
      <c r="I5" s="6"/>
    </row>
    <row r="6" spans="1:9" ht="15" customHeight="1" x14ac:dyDescent="0.25">
      <c r="A6" s="7" t="str">
        <f>CONCATENATE("Appliances","")</f>
        <v>Appliances</v>
      </c>
      <c r="B6" s="8" t="str">
        <f>CONCATENATE("Source","")</f>
        <v>Source</v>
      </c>
      <c r="C6" s="9" t="str">
        <f>CONCATENATE("Qty","")</f>
        <v>Qty</v>
      </c>
      <c r="D6" s="10" t="str">
        <f>CONCATENATE("Low","")</f>
        <v>Low</v>
      </c>
      <c r="E6" s="9" t="str">
        <f>CONCATENATE("Qty","")</f>
        <v>Qty</v>
      </c>
      <c r="F6" s="10" t="str">
        <f>CONCATENATE("Avg","")</f>
        <v>Avg</v>
      </c>
      <c r="G6" s="9" t="str">
        <f>CONCATENATE("Qty","")</f>
        <v>Qty</v>
      </c>
      <c r="H6" s="10" t="str">
        <f>CONCATENATE("High","")</f>
        <v>High</v>
      </c>
      <c r="I6" s="11" t="str">
        <f>CONCATENATE("Total","")</f>
        <v>Total</v>
      </c>
    </row>
    <row r="7" spans="1:9" ht="14.45" customHeight="1" x14ac:dyDescent="0.25">
      <c r="A7" s="12" t="str">
        <f>CONCATENATE("Air Conditioner","")</f>
        <v>Air Conditioner</v>
      </c>
      <c r="B7" s="13" t="s">
        <v>7</v>
      </c>
      <c r="C7" s="14"/>
      <c r="D7" s="15">
        <f>20+0</f>
        <v>20</v>
      </c>
      <c r="E7" s="16"/>
      <c r="F7" s="17">
        <f t="shared" ref="F7:F17" si="0">(D7+H7)/2</f>
        <v>55</v>
      </c>
      <c r="G7" s="18"/>
      <c r="H7" s="19">
        <f>90+0</f>
        <v>90</v>
      </c>
      <c r="I7" s="20">
        <f t="shared" ref="I7:I17" si="1">C7*D7+E7*F7+G7*H7</f>
        <v>0</v>
      </c>
    </row>
    <row r="8" spans="1:9" ht="14.45" customHeight="1" x14ac:dyDescent="0.25">
      <c r="A8" s="21" t="str">
        <f>CONCATENATE("Dryer","")</f>
        <v>Dryer</v>
      </c>
      <c r="B8" s="22" t="s">
        <v>7</v>
      </c>
      <c r="C8" s="23"/>
      <c r="D8" s="24">
        <f>45+0</f>
        <v>45</v>
      </c>
      <c r="E8" s="25"/>
      <c r="F8" s="26">
        <f t="shared" si="0"/>
        <v>67.5</v>
      </c>
      <c r="G8" s="27"/>
      <c r="H8" s="28">
        <f>90+0</f>
        <v>90</v>
      </c>
      <c r="I8" s="29">
        <f t="shared" si="1"/>
        <v>0</v>
      </c>
    </row>
    <row r="9" spans="1:9" ht="14.45" customHeight="1" x14ac:dyDescent="0.25">
      <c r="A9" s="21" t="str">
        <f>CONCATENATE("Electric Stove","")</f>
        <v>Electric Stove</v>
      </c>
      <c r="B9" s="22" t="s">
        <v>7</v>
      </c>
      <c r="C9" s="23"/>
      <c r="D9" s="24">
        <f>75+0</f>
        <v>75</v>
      </c>
      <c r="E9" s="30"/>
      <c r="F9" s="26">
        <f t="shared" si="0"/>
        <v>112.5</v>
      </c>
      <c r="G9" s="27"/>
      <c r="H9" s="28">
        <f>150+0</f>
        <v>150</v>
      </c>
      <c r="I9" s="29">
        <f t="shared" si="1"/>
        <v>0</v>
      </c>
    </row>
    <row r="10" spans="1:9" ht="14.45" customHeight="1" x14ac:dyDescent="0.25">
      <c r="A10" s="21" t="str">
        <f>CONCATENATE("Gas Stove","")</f>
        <v>Gas Stove</v>
      </c>
      <c r="B10" s="22" t="s">
        <v>7</v>
      </c>
      <c r="C10" s="23"/>
      <c r="D10" s="24">
        <f>50+0</f>
        <v>50</v>
      </c>
      <c r="E10" s="30"/>
      <c r="F10" s="26">
        <f t="shared" si="0"/>
        <v>87.5</v>
      </c>
      <c r="G10" s="27"/>
      <c r="H10" s="28">
        <f>125+0</f>
        <v>125</v>
      </c>
      <c r="I10" s="29">
        <f t="shared" si="1"/>
        <v>0</v>
      </c>
    </row>
    <row r="11" spans="1:9" ht="14.45" customHeight="1" x14ac:dyDescent="0.25">
      <c r="A11" s="21" t="str">
        <f>CONCATENATE("Heater","")</f>
        <v>Heater</v>
      </c>
      <c r="B11" s="22" t="s">
        <v>7</v>
      </c>
      <c r="C11" s="23"/>
      <c r="D11" s="24">
        <f>8+0</f>
        <v>8</v>
      </c>
      <c r="E11" s="30"/>
      <c r="F11" s="26">
        <f t="shared" si="0"/>
        <v>15</v>
      </c>
      <c r="G11" s="27"/>
      <c r="H11" s="28">
        <f>22+0</f>
        <v>22</v>
      </c>
      <c r="I11" s="29">
        <f t="shared" si="1"/>
        <v>0</v>
      </c>
    </row>
    <row r="12" spans="1:9" ht="14.45" customHeight="1" x14ac:dyDescent="0.25">
      <c r="A12" s="21" t="str">
        <f>CONCATENATE("Microwave","")</f>
        <v>Microwave</v>
      </c>
      <c r="B12" s="22" t="s">
        <v>7</v>
      </c>
      <c r="C12" s="23"/>
      <c r="D12" s="24">
        <f>10+0</f>
        <v>10</v>
      </c>
      <c r="E12" s="30"/>
      <c r="F12" s="26">
        <f t="shared" si="0"/>
        <v>30</v>
      </c>
      <c r="G12" s="27"/>
      <c r="H12" s="28">
        <f>50+0</f>
        <v>50</v>
      </c>
      <c r="I12" s="29">
        <f t="shared" si="1"/>
        <v>0</v>
      </c>
    </row>
    <row r="13" spans="1:9" ht="14.45" customHeight="1" x14ac:dyDescent="0.25">
      <c r="A13" s="21" t="str">
        <f>CONCATENATE("Radio","")</f>
        <v>Radio</v>
      </c>
      <c r="B13" s="22" t="s">
        <v>3</v>
      </c>
      <c r="C13" s="23"/>
      <c r="D13" s="24">
        <f>2+0</f>
        <v>2</v>
      </c>
      <c r="E13" s="30"/>
      <c r="F13" s="26">
        <f t="shared" si="0"/>
        <v>8.5</v>
      </c>
      <c r="G13" s="27"/>
      <c r="H13" s="28">
        <f>15+0</f>
        <v>15</v>
      </c>
      <c r="I13" s="29">
        <f t="shared" si="1"/>
        <v>0</v>
      </c>
    </row>
    <row r="14" spans="1:9" ht="14.45" customHeight="1" x14ac:dyDescent="0.25">
      <c r="A14" s="21" t="str">
        <f>CONCATENATE("Refridgerator-Working","")</f>
        <v>Refridgerator-Working</v>
      </c>
      <c r="B14" s="22" t="s">
        <v>7</v>
      </c>
      <c r="C14" s="23"/>
      <c r="D14" s="24">
        <f>75+0</f>
        <v>75</v>
      </c>
      <c r="E14" s="30"/>
      <c r="F14" s="26">
        <f t="shared" si="0"/>
        <v>162.5</v>
      </c>
      <c r="G14" s="27"/>
      <c r="H14" s="28">
        <f>250+0</f>
        <v>250</v>
      </c>
      <c r="I14" s="29">
        <f t="shared" si="1"/>
        <v>0</v>
      </c>
    </row>
    <row r="15" spans="1:9" ht="14.45" customHeight="1" x14ac:dyDescent="0.25">
      <c r="A15" s="21" t="str">
        <f>CONCATENATE("TV Color-Working","")</f>
        <v>TV Color-Working</v>
      </c>
      <c r="B15" s="22" t="s">
        <v>7</v>
      </c>
      <c r="C15" s="23"/>
      <c r="D15" s="24">
        <f>75+0</f>
        <v>75</v>
      </c>
      <c r="E15" s="30"/>
      <c r="F15" s="26">
        <f t="shared" si="0"/>
        <v>150</v>
      </c>
      <c r="G15" s="27"/>
      <c r="H15" s="28">
        <f>225+0</f>
        <v>225</v>
      </c>
      <c r="I15" s="29">
        <f t="shared" si="1"/>
        <v>0</v>
      </c>
    </row>
    <row r="16" spans="1:9" ht="14.45" customHeight="1" x14ac:dyDescent="0.25">
      <c r="A16" s="21" t="str">
        <f>CONCATENATE("VCR-DVD player","")</f>
        <v>VCR-DVD player</v>
      </c>
      <c r="B16" s="22" t="s">
        <v>3</v>
      </c>
      <c r="C16" s="23"/>
      <c r="D16" s="24">
        <f>8+0</f>
        <v>8</v>
      </c>
      <c r="E16" s="30"/>
      <c r="F16" s="26">
        <f t="shared" si="0"/>
        <v>11.5</v>
      </c>
      <c r="G16" s="27"/>
      <c r="H16" s="28">
        <f>15+0</f>
        <v>15</v>
      </c>
      <c r="I16" s="29">
        <f t="shared" si="1"/>
        <v>0</v>
      </c>
    </row>
    <row r="17" spans="1:9" ht="14.45" customHeight="1" x14ac:dyDescent="0.25">
      <c r="A17" s="21" t="str">
        <f>CONCATENATE("Washing Machine","")</f>
        <v>Washing Machine</v>
      </c>
      <c r="B17" s="22" t="s">
        <v>7</v>
      </c>
      <c r="C17" s="23"/>
      <c r="D17" s="24">
        <f>40+0</f>
        <v>40</v>
      </c>
      <c r="E17" s="30"/>
      <c r="F17" s="26">
        <f t="shared" si="0"/>
        <v>95</v>
      </c>
      <c r="G17" s="27"/>
      <c r="H17" s="28">
        <f>150+0</f>
        <v>150</v>
      </c>
      <c r="I17" s="29">
        <f t="shared" si="1"/>
        <v>0</v>
      </c>
    </row>
    <row r="18" spans="1:9" ht="15" customHeight="1" x14ac:dyDescent="0.25">
      <c r="E18" s="1" t="s">
        <v>2</v>
      </c>
    </row>
    <row r="19" spans="1:9" ht="15" customHeight="1" x14ac:dyDescent="0.25">
      <c r="A19" s="7" t="str">
        <f>CONCATENATE("Childrens","")</f>
        <v>Childrens</v>
      </c>
      <c r="B19" s="31" t="str">
        <f>$B$6</f>
        <v>Source</v>
      </c>
      <c r="C19" s="32" t="str">
        <f>$C$6</f>
        <v>Qty</v>
      </c>
      <c r="D19" s="33" t="str">
        <f>$D$6</f>
        <v>Low</v>
      </c>
      <c r="E19" s="32" t="str">
        <f>$E$6</f>
        <v>Qty</v>
      </c>
      <c r="F19" s="33" t="str">
        <f>$F$6</f>
        <v>Avg</v>
      </c>
      <c r="G19" s="32" t="str">
        <f>$G$6</f>
        <v>Qty</v>
      </c>
      <c r="H19" s="33" t="str">
        <f>$H$6</f>
        <v>High</v>
      </c>
      <c r="I19" s="34" t="str">
        <f>$I$6</f>
        <v>Total</v>
      </c>
    </row>
    <row r="20" spans="1:9" ht="14.45" customHeight="1" x14ac:dyDescent="0.25">
      <c r="A20" s="12" t="str">
        <f>CONCATENATE("Belts-Leather","")</f>
        <v>Belts-Leather</v>
      </c>
      <c r="B20" s="13" t="s">
        <v>3</v>
      </c>
      <c r="C20" s="14"/>
      <c r="D20" s="15">
        <f>3+0</f>
        <v>3</v>
      </c>
      <c r="E20" s="14"/>
      <c r="F20" s="15">
        <f t="shared" ref="F20:F44" si="2">(D20+H20)/2</f>
        <v>6</v>
      </c>
      <c r="G20" s="18"/>
      <c r="H20" s="15">
        <f>9+0</f>
        <v>9</v>
      </c>
      <c r="I20" s="20">
        <f t="shared" ref="I20:I44" si="3">C20*D20+E20*F20+G20*H20</f>
        <v>0</v>
      </c>
    </row>
    <row r="21" spans="1:9" ht="14.45" customHeight="1" x14ac:dyDescent="0.25">
      <c r="A21" s="21" t="str">
        <f>CONCATENATE("Belts - Other","")</f>
        <v>Belts - Other</v>
      </c>
      <c r="B21" s="22" t="s">
        <v>3</v>
      </c>
      <c r="C21" s="23"/>
      <c r="D21" s="24">
        <f>1+0</f>
        <v>1</v>
      </c>
      <c r="E21" s="23"/>
      <c r="F21" s="24">
        <f t="shared" si="2"/>
        <v>1.5</v>
      </c>
      <c r="G21" s="27"/>
      <c r="H21" s="24">
        <f>2+0</f>
        <v>2</v>
      </c>
      <c r="I21" s="29">
        <f t="shared" si="3"/>
        <v>0</v>
      </c>
    </row>
    <row r="22" spans="1:9" ht="14.45" customHeight="1" x14ac:dyDescent="0.25">
      <c r="A22" s="21" t="str">
        <f>CONCATENATE("Blazer","")</f>
        <v>Blazer</v>
      </c>
      <c r="B22" s="22" t="s">
        <v>3</v>
      </c>
      <c r="C22" s="23"/>
      <c r="D22" s="24">
        <f>2+0</f>
        <v>2</v>
      </c>
      <c r="E22" s="23"/>
      <c r="F22" s="24">
        <f t="shared" si="2"/>
        <v>4</v>
      </c>
      <c r="G22" s="27"/>
      <c r="H22" s="24">
        <f>6+0</f>
        <v>6</v>
      </c>
      <c r="I22" s="29">
        <f t="shared" si="3"/>
        <v>0</v>
      </c>
    </row>
    <row r="23" spans="1:9" ht="14.45" customHeight="1" x14ac:dyDescent="0.25">
      <c r="A23" s="21" t="str">
        <f>CONCATENATE("Blouses/Shirts","")</f>
        <v>Blouses/Shirts</v>
      </c>
      <c r="B23" s="22" t="s">
        <v>3</v>
      </c>
      <c r="C23" s="23"/>
      <c r="D23" s="24">
        <f>1+0</f>
        <v>1</v>
      </c>
      <c r="E23" s="23"/>
      <c r="F23" s="24">
        <f t="shared" si="2"/>
        <v>3.5</v>
      </c>
      <c r="G23" s="27"/>
      <c r="H23" s="24">
        <v>6</v>
      </c>
      <c r="I23" s="29">
        <f t="shared" si="3"/>
        <v>0</v>
      </c>
    </row>
    <row r="24" spans="1:9" ht="14.45" customHeight="1" x14ac:dyDescent="0.25">
      <c r="A24" s="21" t="str">
        <f>CONCATENATE("Boots-ankle","")</f>
        <v>Boots-ankle</v>
      </c>
      <c r="B24" s="22" t="s">
        <v>3</v>
      </c>
      <c r="C24" s="23"/>
      <c r="D24" s="24">
        <f>2+0</f>
        <v>2</v>
      </c>
      <c r="E24" s="23"/>
      <c r="F24" s="24">
        <f t="shared" si="2"/>
        <v>4</v>
      </c>
      <c r="G24" s="27"/>
      <c r="H24" s="24">
        <f>6+0</f>
        <v>6</v>
      </c>
      <c r="I24" s="29">
        <f t="shared" si="3"/>
        <v>0</v>
      </c>
    </row>
    <row r="25" spans="1:9" ht="14.45" customHeight="1" x14ac:dyDescent="0.25">
      <c r="A25" s="21" t="str">
        <f>CONCATENATE("Coats","")</f>
        <v>Coats</v>
      </c>
      <c r="B25" s="22" t="s">
        <v>3</v>
      </c>
      <c r="C25" s="23"/>
      <c r="D25" s="24">
        <f>3+0</f>
        <v>3</v>
      </c>
      <c r="E25" s="23"/>
      <c r="F25" s="24">
        <f t="shared" si="2"/>
        <v>9</v>
      </c>
      <c r="G25" s="27"/>
      <c r="H25" s="24">
        <f>15+0</f>
        <v>15</v>
      </c>
      <c r="I25" s="29">
        <f t="shared" si="3"/>
        <v>0</v>
      </c>
    </row>
    <row r="26" spans="1:9" ht="14.45" customHeight="1" x14ac:dyDescent="0.25">
      <c r="A26" s="21" t="str">
        <f>CONCATENATE("Dresses","")</f>
        <v>Dresses</v>
      </c>
      <c r="B26" s="22" t="s">
        <v>3</v>
      </c>
      <c r="C26" s="23"/>
      <c r="D26" s="24">
        <f>2+0</f>
        <v>2</v>
      </c>
      <c r="E26" s="23"/>
      <c r="F26" s="24">
        <f t="shared" si="2"/>
        <v>4</v>
      </c>
      <c r="G26" s="27"/>
      <c r="H26" s="24">
        <f>6+0</f>
        <v>6</v>
      </c>
      <c r="I26" s="29">
        <f t="shared" si="3"/>
        <v>0</v>
      </c>
    </row>
    <row r="27" spans="1:9" ht="14.45" customHeight="1" x14ac:dyDescent="0.25">
      <c r="A27" s="21" t="str">
        <f>CONCATENATE("Jeans","")</f>
        <v>Jeans</v>
      </c>
      <c r="B27" s="22" t="s">
        <v>3</v>
      </c>
      <c r="C27" s="23"/>
      <c r="D27" s="24">
        <f>2+0</f>
        <v>2</v>
      </c>
      <c r="E27" s="23"/>
      <c r="F27" s="24">
        <f t="shared" si="2"/>
        <v>6</v>
      </c>
      <c r="G27" s="27"/>
      <c r="H27" s="24">
        <f>10+0</f>
        <v>10</v>
      </c>
      <c r="I27" s="29">
        <f t="shared" si="3"/>
        <v>0</v>
      </c>
    </row>
    <row r="28" spans="1:9" ht="14.45" customHeight="1" x14ac:dyDescent="0.25">
      <c r="A28" s="21" t="str">
        <f>CONCATENATE("Nightgown","")</f>
        <v>Nightgown</v>
      </c>
      <c r="B28" s="22" t="s">
        <v>3</v>
      </c>
      <c r="C28" s="23"/>
      <c r="D28" s="24">
        <f>1+0</f>
        <v>1</v>
      </c>
      <c r="E28" s="23"/>
      <c r="F28" s="24">
        <f t="shared" si="2"/>
        <v>3.5</v>
      </c>
      <c r="G28" s="27"/>
      <c r="H28" s="24">
        <f t="shared" ref="H28:H34" si="4">6+0</f>
        <v>6</v>
      </c>
      <c r="I28" s="29">
        <f t="shared" si="3"/>
        <v>0</v>
      </c>
    </row>
    <row r="29" spans="1:9" ht="14.45" customHeight="1" x14ac:dyDescent="0.25">
      <c r="A29" s="21" t="str">
        <f>CONCATENATE("Pajamas","")</f>
        <v>Pajamas</v>
      </c>
      <c r="B29" s="22" t="s">
        <v>3</v>
      </c>
      <c r="C29" s="23"/>
      <c r="D29" s="24">
        <f>1+0</f>
        <v>1</v>
      </c>
      <c r="E29" s="23"/>
      <c r="F29" s="24">
        <f t="shared" si="2"/>
        <v>3.5</v>
      </c>
      <c r="G29" s="27"/>
      <c r="H29" s="24">
        <f t="shared" si="4"/>
        <v>6</v>
      </c>
      <c r="I29" s="29">
        <f t="shared" si="3"/>
        <v>0</v>
      </c>
    </row>
    <row r="30" spans="1:9" ht="14.45" customHeight="1" x14ac:dyDescent="0.25">
      <c r="A30" s="21" t="str">
        <f>CONCATENATE("Pants-casual","")</f>
        <v>Pants-casual</v>
      </c>
      <c r="B30" s="22" t="s">
        <v>3</v>
      </c>
      <c r="C30" s="23"/>
      <c r="D30" s="24">
        <f>1+0</f>
        <v>1</v>
      </c>
      <c r="E30" s="23"/>
      <c r="F30" s="24">
        <f t="shared" si="2"/>
        <v>3.5</v>
      </c>
      <c r="G30" s="27"/>
      <c r="H30" s="24">
        <f t="shared" si="4"/>
        <v>6</v>
      </c>
      <c r="I30" s="29">
        <f t="shared" si="3"/>
        <v>0</v>
      </c>
    </row>
    <row r="31" spans="1:9" ht="14.45" customHeight="1" x14ac:dyDescent="0.25">
      <c r="A31" s="21" t="str">
        <f>CONCATENATE("Pants-dress","")</f>
        <v>Pants-dress</v>
      </c>
      <c r="B31" s="22" t="s">
        <v>3</v>
      </c>
      <c r="C31" s="23"/>
      <c r="D31" s="24">
        <f>1+0</f>
        <v>1</v>
      </c>
      <c r="E31" s="23"/>
      <c r="F31" s="24">
        <f t="shared" si="2"/>
        <v>3.5</v>
      </c>
      <c r="G31" s="27"/>
      <c r="H31" s="24">
        <f t="shared" si="4"/>
        <v>6</v>
      </c>
      <c r="I31" s="29">
        <f t="shared" si="3"/>
        <v>0</v>
      </c>
    </row>
    <row r="32" spans="1:9" ht="14.45" customHeight="1" x14ac:dyDescent="0.25">
      <c r="A32" s="21" t="str">
        <f>CONCATENATE("Robe","")</f>
        <v>Robe</v>
      </c>
      <c r="B32" s="22" t="s">
        <v>3</v>
      </c>
      <c r="C32" s="23"/>
      <c r="D32" s="24">
        <f>1+0</f>
        <v>1</v>
      </c>
      <c r="E32" s="23"/>
      <c r="F32" s="24">
        <f t="shared" si="2"/>
        <v>3.5</v>
      </c>
      <c r="G32" s="27"/>
      <c r="H32" s="24">
        <f t="shared" si="4"/>
        <v>6</v>
      </c>
      <c r="I32" s="29">
        <f t="shared" si="3"/>
        <v>0</v>
      </c>
    </row>
    <row r="33" spans="1:9" ht="14.45" customHeight="1" x14ac:dyDescent="0.25">
      <c r="A33" s="21" t="str">
        <f>CONCATENATE("Sandals-slippers","")</f>
        <v>Sandals-slippers</v>
      </c>
      <c r="B33" s="22" t="s">
        <v>3</v>
      </c>
      <c r="C33" s="23"/>
      <c r="D33" s="24">
        <f>2+0</f>
        <v>2</v>
      </c>
      <c r="E33" s="23"/>
      <c r="F33" s="24">
        <f t="shared" si="2"/>
        <v>4</v>
      </c>
      <c r="G33" s="27"/>
      <c r="H33" s="24">
        <f t="shared" si="4"/>
        <v>6</v>
      </c>
      <c r="I33" s="29">
        <f t="shared" si="3"/>
        <v>0</v>
      </c>
    </row>
    <row r="34" spans="1:9" ht="14.45" customHeight="1" x14ac:dyDescent="0.25">
      <c r="A34" s="21" t="str">
        <f>CONCATENATE("Shoes-tennis","")</f>
        <v>Shoes-tennis</v>
      </c>
      <c r="B34" s="22" t="s">
        <v>3</v>
      </c>
      <c r="C34" s="23"/>
      <c r="D34" s="24">
        <f>2+0</f>
        <v>2</v>
      </c>
      <c r="E34" s="23"/>
      <c r="F34" s="24">
        <f t="shared" si="2"/>
        <v>4</v>
      </c>
      <c r="G34" s="27"/>
      <c r="H34" s="24">
        <f t="shared" si="4"/>
        <v>6</v>
      </c>
      <c r="I34" s="29">
        <f t="shared" si="3"/>
        <v>0</v>
      </c>
    </row>
    <row r="35" spans="1:9" ht="14.45" customHeight="1" x14ac:dyDescent="0.25">
      <c r="A35" s="21" t="str">
        <f>CONCATENATE("Shorts","")</f>
        <v>Shorts</v>
      </c>
      <c r="B35" s="22" t="s">
        <v>3</v>
      </c>
      <c r="C35" s="23"/>
      <c r="D35" s="24">
        <f>1+0</f>
        <v>1</v>
      </c>
      <c r="E35" s="23"/>
      <c r="F35" s="24">
        <f t="shared" si="2"/>
        <v>5</v>
      </c>
      <c r="G35" s="27"/>
      <c r="H35" s="24">
        <f>9+0</f>
        <v>9</v>
      </c>
      <c r="I35" s="29">
        <f t="shared" si="3"/>
        <v>0</v>
      </c>
    </row>
    <row r="36" spans="1:9" ht="14.45" customHeight="1" x14ac:dyDescent="0.25">
      <c r="A36" s="21" t="str">
        <f>CONCATENATE("Skirts","")</f>
        <v>Skirts</v>
      </c>
      <c r="B36" s="22" t="s">
        <v>3</v>
      </c>
      <c r="C36" s="23"/>
      <c r="D36" s="24">
        <f>1+0</f>
        <v>1</v>
      </c>
      <c r="E36" s="23"/>
      <c r="F36" s="24">
        <f t="shared" si="2"/>
        <v>3.5</v>
      </c>
      <c r="G36" s="27"/>
      <c r="H36" s="24">
        <f t="shared" ref="H36:H41" si="5">6+0</f>
        <v>6</v>
      </c>
      <c r="I36" s="29">
        <f t="shared" si="3"/>
        <v>0</v>
      </c>
    </row>
    <row r="37" spans="1:9" ht="14.45" customHeight="1" x14ac:dyDescent="0.25">
      <c r="A37" s="21" t="str">
        <f>CONCATENATE("Sport coats","")</f>
        <v>Sport coats</v>
      </c>
      <c r="B37" s="22" t="s">
        <v>3</v>
      </c>
      <c r="C37" s="23"/>
      <c r="D37" s="24">
        <f>2+0</f>
        <v>2</v>
      </c>
      <c r="E37" s="23"/>
      <c r="F37" s="24">
        <f t="shared" si="2"/>
        <v>4</v>
      </c>
      <c r="G37" s="27"/>
      <c r="H37" s="24">
        <f t="shared" si="5"/>
        <v>6</v>
      </c>
      <c r="I37" s="29">
        <f t="shared" si="3"/>
        <v>0</v>
      </c>
    </row>
    <row r="38" spans="1:9" ht="14.45" customHeight="1" x14ac:dyDescent="0.25">
      <c r="A38" s="21" t="str">
        <f>CONCATENATE("Sweaters","")</f>
        <v>Sweaters</v>
      </c>
      <c r="B38" s="22" t="s">
        <v>3</v>
      </c>
      <c r="C38" s="23"/>
      <c r="D38" s="24">
        <f>1+0</f>
        <v>1</v>
      </c>
      <c r="E38" s="23"/>
      <c r="F38" s="24">
        <f t="shared" si="2"/>
        <v>3.5</v>
      </c>
      <c r="G38" s="27"/>
      <c r="H38" s="24">
        <f t="shared" si="5"/>
        <v>6</v>
      </c>
      <c r="I38" s="29">
        <f t="shared" si="3"/>
        <v>0</v>
      </c>
    </row>
    <row r="39" spans="1:9" ht="14.45" customHeight="1" x14ac:dyDescent="0.25">
      <c r="A39" s="21" t="str">
        <f>CONCATENATE("Sweats-bottom","")</f>
        <v>Sweats-bottom</v>
      </c>
      <c r="B39" s="22" t="s">
        <v>3</v>
      </c>
      <c r="C39" s="23"/>
      <c r="D39" s="24">
        <f>1+0</f>
        <v>1</v>
      </c>
      <c r="E39" s="23"/>
      <c r="F39" s="24">
        <f t="shared" si="2"/>
        <v>3.5</v>
      </c>
      <c r="G39" s="27"/>
      <c r="H39" s="24">
        <f t="shared" si="5"/>
        <v>6</v>
      </c>
      <c r="I39" s="29">
        <f t="shared" si="3"/>
        <v>0</v>
      </c>
    </row>
    <row r="40" spans="1:9" ht="14.45" customHeight="1" x14ac:dyDescent="0.25">
      <c r="A40" s="21" t="str">
        <f>CONCATENATE("Sweats-top","")</f>
        <v>Sweats-top</v>
      </c>
      <c r="B40" s="22" t="s">
        <v>3</v>
      </c>
      <c r="C40" s="23"/>
      <c r="D40" s="24">
        <v>1</v>
      </c>
      <c r="E40" s="23"/>
      <c r="F40" s="24">
        <f t="shared" si="2"/>
        <v>3.5</v>
      </c>
      <c r="G40" s="27"/>
      <c r="H40" s="24">
        <f t="shared" si="5"/>
        <v>6</v>
      </c>
      <c r="I40" s="29">
        <f t="shared" si="3"/>
        <v>0</v>
      </c>
    </row>
    <row r="41" spans="1:9" ht="14.45" customHeight="1" x14ac:dyDescent="0.25">
      <c r="A41" s="21" t="str">
        <f>CONCATENATE("Swimwear","")</f>
        <v>Swimwear</v>
      </c>
      <c r="B41" s="22" t="s">
        <v>3</v>
      </c>
      <c r="C41" s="23"/>
      <c r="D41" s="24">
        <f>1+0</f>
        <v>1</v>
      </c>
      <c r="E41" s="23"/>
      <c r="F41" s="24">
        <f t="shared" si="2"/>
        <v>3.5</v>
      </c>
      <c r="G41" s="27"/>
      <c r="H41" s="24">
        <f t="shared" si="5"/>
        <v>6</v>
      </c>
      <c r="I41" s="29">
        <f t="shared" si="3"/>
        <v>0</v>
      </c>
    </row>
    <row r="42" spans="1:9" ht="14.45" customHeight="1" x14ac:dyDescent="0.25">
      <c r="A42" s="21" t="str">
        <f>CONCATENATE("Tanks","")</f>
        <v>Tanks</v>
      </c>
      <c r="B42" s="22" t="s">
        <v>3</v>
      </c>
      <c r="C42" s="23"/>
      <c r="D42" s="24">
        <f>1+0</f>
        <v>1</v>
      </c>
      <c r="E42" s="23"/>
      <c r="F42" s="24">
        <f t="shared" si="2"/>
        <v>2</v>
      </c>
      <c r="G42" s="27"/>
      <c r="H42" s="24">
        <f>3+0</f>
        <v>3</v>
      </c>
      <c r="I42" s="29">
        <f t="shared" si="3"/>
        <v>0</v>
      </c>
    </row>
    <row r="43" spans="1:9" ht="14.45" customHeight="1" x14ac:dyDescent="0.25">
      <c r="A43" s="21" t="str">
        <f>CONCATENATE("T-shirts","")</f>
        <v>T-shirts</v>
      </c>
      <c r="B43" s="22" t="s">
        <v>3</v>
      </c>
      <c r="C43" s="23"/>
      <c r="D43" s="24">
        <f>1+0</f>
        <v>1</v>
      </c>
      <c r="E43" s="23"/>
      <c r="F43" s="24">
        <f t="shared" si="2"/>
        <v>2</v>
      </c>
      <c r="G43" s="27"/>
      <c r="H43" s="24">
        <f>3+0</f>
        <v>3</v>
      </c>
      <c r="I43" s="29">
        <f t="shared" si="3"/>
        <v>0</v>
      </c>
    </row>
    <row r="44" spans="1:9" ht="14.45" customHeight="1" x14ac:dyDescent="0.25">
      <c r="A44" s="21" t="str">
        <f>CONCATENATE("Vests","")</f>
        <v>Vests</v>
      </c>
      <c r="B44" s="22" t="s">
        <v>3</v>
      </c>
      <c r="C44" s="23"/>
      <c r="D44" s="24">
        <f>1+0</f>
        <v>1</v>
      </c>
      <c r="E44" s="23"/>
      <c r="F44" s="24">
        <f t="shared" si="2"/>
        <v>2</v>
      </c>
      <c r="G44" s="27"/>
      <c r="H44" s="24">
        <f>3+0</f>
        <v>3</v>
      </c>
      <c r="I44" s="29">
        <f t="shared" si="3"/>
        <v>0</v>
      </c>
    </row>
    <row r="45" spans="1:9" ht="14.45" customHeight="1" x14ac:dyDescent="0.25">
      <c r="A45" s="35"/>
      <c r="B45" s="36"/>
      <c r="C45" s="36"/>
    </row>
    <row r="46" spans="1:9" ht="15" customHeight="1" x14ac:dyDescent="0.25">
      <c r="A46" s="35"/>
      <c r="B46" s="36"/>
      <c r="C46" s="36"/>
    </row>
    <row r="47" spans="1:9" ht="15" customHeight="1" x14ac:dyDescent="0.25">
      <c r="A47" s="7" t="str">
        <f>CONCATENATE("Furniture","")</f>
        <v>Furniture</v>
      </c>
      <c r="B47" s="31" t="str">
        <f>$B$6</f>
        <v>Source</v>
      </c>
      <c r="C47" s="32" t="str">
        <f>$C$6</f>
        <v>Qty</v>
      </c>
      <c r="D47" s="33" t="str">
        <f>$D$6</f>
        <v>Low</v>
      </c>
      <c r="E47" s="32" t="str">
        <f>$E$6</f>
        <v>Qty</v>
      </c>
      <c r="F47" s="33" t="str">
        <f>$F$6</f>
        <v>Avg</v>
      </c>
      <c r="G47" s="32" t="str">
        <f>$G$6</f>
        <v>Qty</v>
      </c>
      <c r="H47" s="33" t="str">
        <f>$H$6</f>
        <v>High</v>
      </c>
      <c r="I47" s="34" t="str">
        <f>$I$6</f>
        <v>Total</v>
      </c>
    </row>
    <row r="48" spans="1:9" ht="14.45" customHeight="1" x14ac:dyDescent="0.25">
      <c r="A48" s="12" t="str">
        <f>CONCATENATE("Bed-full-queen-king","")</f>
        <v>Bed-full-queen-king</v>
      </c>
      <c r="B48" s="13" t="s">
        <v>7</v>
      </c>
      <c r="C48" s="14"/>
      <c r="D48" s="15">
        <f>50+0</f>
        <v>50</v>
      </c>
      <c r="E48" s="25"/>
      <c r="F48" s="17">
        <f t="shared" ref="F48:F78" si="6">(D48+H48)/2</f>
        <v>110</v>
      </c>
      <c r="G48" s="37"/>
      <c r="H48" s="15">
        <f>170+0</f>
        <v>170</v>
      </c>
      <c r="I48" s="20">
        <f t="shared" ref="I48:I78" si="7">C48*D48+E48*F48+G48*H48</f>
        <v>0</v>
      </c>
    </row>
    <row r="49" spans="1:9" ht="14.45" customHeight="1" x14ac:dyDescent="0.25">
      <c r="A49" s="21" t="str">
        <f>CONCATENATE("Bedroom set-complete","")</f>
        <v>Bedroom set-complete</v>
      </c>
      <c r="B49" s="22" t="s">
        <v>7</v>
      </c>
      <c r="C49" s="23"/>
      <c r="D49" s="24">
        <f>250+0</f>
        <v>250</v>
      </c>
      <c r="E49" s="30"/>
      <c r="F49" s="26">
        <f t="shared" si="6"/>
        <v>624.5</v>
      </c>
      <c r="G49" s="38"/>
      <c r="H49" s="24">
        <f>999+0</f>
        <v>999</v>
      </c>
      <c r="I49" s="29">
        <f t="shared" si="7"/>
        <v>0</v>
      </c>
    </row>
    <row r="50" spans="1:9" ht="14.45" customHeight="1" x14ac:dyDescent="0.25">
      <c r="A50" s="21" t="str">
        <f>CONCATENATE("Bed-single","")</f>
        <v>Bed-single</v>
      </c>
      <c r="B50" s="22" t="s">
        <v>7</v>
      </c>
      <c r="C50" s="23"/>
      <c r="D50" s="24">
        <f>35+0</f>
        <v>35</v>
      </c>
      <c r="E50" s="30"/>
      <c r="F50" s="26">
        <f t="shared" si="6"/>
        <v>67.5</v>
      </c>
      <c r="G50" s="38"/>
      <c r="H50" s="24">
        <f>100+0</f>
        <v>100</v>
      </c>
      <c r="I50" s="29">
        <f t="shared" si="7"/>
        <v>0</v>
      </c>
    </row>
    <row r="51" spans="1:9" ht="14.45" customHeight="1" x14ac:dyDescent="0.25">
      <c r="A51" s="21" t="str">
        <f>CONCATENATE("Chair-upholstered","")</f>
        <v>Chair-upholstered</v>
      </c>
      <c r="B51" s="22" t="s">
        <v>7</v>
      </c>
      <c r="C51" s="23"/>
      <c r="D51" s="24">
        <f>25+0</f>
        <v>25</v>
      </c>
      <c r="E51" s="30"/>
      <c r="F51" s="26">
        <f t="shared" si="6"/>
        <v>62.5</v>
      </c>
      <c r="G51" s="38"/>
      <c r="H51" s="24">
        <f>100+0</f>
        <v>100</v>
      </c>
      <c r="I51" s="29">
        <f t="shared" si="7"/>
        <v>0</v>
      </c>
    </row>
    <row r="52" spans="1:9" ht="14.45" customHeight="1" x14ac:dyDescent="0.25">
      <c r="A52" s="21" t="str">
        <f>CONCATENATE("Chest","")</f>
        <v>Chest</v>
      </c>
      <c r="B52" s="22" t="s">
        <v>7</v>
      </c>
      <c r="C52" s="23"/>
      <c r="D52" s="24">
        <f>25+0</f>
        <v>25</v>
      </c>
      <c r="E52" s="30"/>
      <c r="F52" s="26">
        <f t="shared" si="6"/>
        <v>60</v>
      </c>
      <c r="G52" s="38"/>
      <c r="H52" s="24">
        <f>95+0</f>
        <v>95</v>
      </c>
      <c r="I52" s="29">
        <f t="shared" si="7"/>
        <v>0</v>
      </c>
    </row>
    <row r="53" spans="1:9" ht="14.45" customHeight="1" x14ac:dyDescent="0.25">
      <c r="A53" s="21" t="str">
        <f>CONCATENATE("China cabinet","")</f>
        <v>China cabinet</v>
      </c>
      <c r="B53" s="22" t="s">
        <v>7</v>
      </c>
      <c r="C53" s="23"/>
      <c r="D53" s="24">
        <f>85+0</f>
        <v>85</v>
      </c>
      <c r="E53" s="30"/>
      <c r="F53" s="26">
        <f t="shared" si="6"/>
        <v>192.5</v>
      </c>
      <c r="G53" s="38"/>
      <c r="H53" s="24">
        <f>300+0</f>
        <v>300</v>
      </c>
      <c r="I53" s="29">
        <f t="shared" si="7"/>
        <v>0</v>
      </c>
    </row>
    <row r="54" spans="1:9" ht="14.45" customHeight="1" x14ac:dyDescent="0.25">
      <c r="A54" s="21" t="str">
        <f>CONCATENATE("Clothes closet","")</f>
        <v>Clothes closet</v>
      </c>
      <c r="B54" s="22" t="s">
        <v>7</v>
      </c>
      <c r="C54" s="23"/>
      <c r="D54" s="24">
        <f>15+0</f>
        <v>15</v>
      </c>
      <c r="E54" s="30"/>
      <c r="F54" s="26">
        <f t="shared" si="6"/>
        <v>32.5</v>
      </c>
      <c r="G54" s="38"/>
      <c r="H54" s="24">
        <f>50+0</f>
        <v>50</v>
      </c>
      <c r="I54" s="29">
        <f t="shared" si="7"/>
        <v>0</v>
      </c>
    </row>
    <row r="55" spans="1:9" ht="14.45" customHeight="1" x14ac:dyDescent="0.25">
      <c r="A55" s="21" t="str">
        <f>CONCATENATE("Coffee table","")</f>
        <v>Coffee table</v>
      </c>
      <c r="B55" s="22" t="s">
        <v>7</v>
      </c>
      <c r="C55" s="23"/>
      <c r="D55" s="24">
        <f>15+0</f>
        <v>15</v>
      </c>
      <c r="E55" s="30"/>
      <c r="F55" s="26">
        <f t="shared" si="6"/>
        <v>40</v>
      </c>
      <c r="G55" s="38"/>
      <c r="H55" s="24">
        <f>65+0</f>
        <v>65</v>
      </c>
      <c r="I55" s="29">
        <f t="shared" si="7"/>
        <v>0</v>
      </c>
    </row>
    <row r="56" spans="1:9" ht="14.45" customHeight="1" x14ac:dyDescent="0.25">
      <c r="A56" s="21" t="str">
        <f>CONCATENATE("Crib with mattress","")</f>
        <v>Crib with mattress</v>
      </c>
      <c r="B56" s="22" t="s">
        <v>7</v>
      </c>
      <c r="C56" s="23"/>
      <c r="D56" s="24">
        <f>25+0</f>
        <v>25</v>
      </c>
      <c r="E56" s="30"/>
      <c r="F56" s="26">
        <f t="shared" si="6"/>
        <v>62.5</v>
      </c>
      <c r="G56" s="38"/>
      <c r="H56" s="24">
        <f>100+0</f>
        <v>100</v>
      </c>
      <c r="I56" s="29">
        <f t="shared" si="7"/>
        <v>0</v>
      </c>
    </row>
    <row r="57" spans="1:9" ht="14.45" customHeight="1" x14ac:dyDescent="0.25">
      <c r="A57" s="21" t="str">
        <f>CONCATENATE("Desk","")</f>
        <v>Desk</v>
      </c>
      <c r="B57" s="22" t="s">
        <v>7</v>
      </c>
      <c r="C57" s="23"/>
      <c r="D57" s="24">
        <f>25+0</f>
        <v>25</v>
      </c>
      <c r="E57" s="30"/>
      <c r="F57" s="26">
        <f t="shared" si="6"/>
        <v>82.5</v>
      </c>
      <c r="G57" s="38"/>
      <c r="H57" s="24">
        <f>140+0</f>
        <v>140</v>
      </c>
      <c r="I57" s="29">
        <f t="shared" si="7"/>
        <v>0</v>
      </c>
    </row>
    <row r="58" spans="1:9" ht="14.45" customHeight="1" x14ac:dyDescent="0.25">
      <c r="A58" s="21" t="str">
        <f>CONCATENATE("Dining room set-complete","")</f>
        <v>Dining room set-complete</v>
      </c>
      <c r="B58" s="22" t="s">
        <v>7</v>
      </c>
      <c r="C58" s="23"/>
      <c r="D58" s="24">
        <f>150+0</f>
        <v>150</v>
      </c>
      <c r="E58" s="30"/>
      <c r="F58" s="26">
        <f t="shared" si="6"/>
        <v>525</v>
      </c>
      <c r="G58" s="38"/>
      <c r="H58" s="24">
        <f>900+0</f>
        <v>900</v>
      </c>
      <c r="I58" s="29">
        <f t="shared" si="7"/>
        <v>0</v>
      </c>
    </row>
    <row r="59" spans="1:9" ht="14.45" customHeight="1" x14ac:dyDescent="0.25">
      <c r="A59" s="21" t="str">
        <f>CONCATENATE("Dresser w/mirror","")</f>
        <v>Dresser w/mirror</v>
      </c>
      <c r="B59" s="22" t="s">
        <v>7</v>
      </c>
      <c r="C59" s="23"/>
      <c r="D59" s="24">
        <f>20+0</f>
        <v>20</v>
      </c>
      <c r="E59" s="30"/>
      <c r="F59" s="26">
        <f t="shared" si="6"/>
        <v>60</v>
      </c>
      <c r="G59" s="38"/>
      <c r="H59" s="24">
        <f>100+0</f>
        <v>100</v>
      </c>
      <c r="I59" s="29">
        <f t="shared" si="7"/>
        <v>0</v>
      </c>
    </row>
    <row r="60" spans="1:9" ht="14.45" customHeight="1" x14ac:dyDescent="0.25">
      <c r="A60" s="21" t="str">
        <f>CONCATENATE("End table","")</f>
        <v>End table</v>
      </c>
      <c r="B60" s="22" t="s">
        <v>7</v>
      </c>
      <c r="C60" s="23"/>
      <c r="D60" s="24">
        <f>10+0</f>
        <v>10</v>
      </c>
      <c r="E60" s="30"/>
      <c r="F60" s="26">
        <f t="shared" si="6"/>
        <v>30</v>
      </c>
      <c r="G60" s="38"/>
      <c r="H60" s="24">
        <f>50+0</f>
        <v>50</v>
      </c>
      <c r="I60" s="29">
        <f t="shared" si="7"/>
        <v>0</v>
      </c>
    </row>
    <row r="61" spans="1:9" ht="14.45" customHeight="1" x14ac:dyDescent="0.25">
      <c r="A61" s="21" t="str">
        <f>CONCATENATE("Folding bed","")</f>
        <v>Folding bed</v>
      </c>
      <c r="B61" s="22" t="s">
        <v>7</v>
      </c>
      <c r="C61" s="23"/>
      <c r="D61" s="24">
        <f>20+0</f>
        <v>20</v>
      </c>
      <c r="E61" s="30"/>
      <c r="F61" s="26">
        <f t="shared" si="6"/>
        <v>40</v>
      </c>
      <c r="G61" s="38"/>
      <c r="H61" s="24">
        <f>60+0</f>
        <v>60</v>
      </c>
      <c r="I61" s="29">
        <f t="shared" si="7"/>
        <v>0</v>
      </c>
    </row>
    <row r="62" spans="1:9" ht="14.45" customHeight="1" x14ac:dyDescent="0.25">
      <c r="A62" s="21" t="str">
        <f>CONCATENATE("Hi Riser","")</f>
        <v>Hi Riser</v>
      </c>
      <c r="B62" s="22" t="s">
        <v>7</v>
      </c>
      <c r="C62" s="23"/>
      <c r="D62" s="24">
        <f>35+0</f>
        <v>35</v>
      </c>
      <c r="E62" s="30"/>
      <c r="F62" s="26">
        <f t="shared" si="6"/>
        <v>55</v>
      </c>
      <c r="G62" s="38"/>
      <c r="H62" s="24">
        <f>75+0</f>
        <v>75</v>
      </c>
      <c r="I62" s="29">
        <f t="shared" si="7"/>
        <v>0</v>
      </c>
    </row>
    <row r="63" spans="1:9" ht="14.45" customHeight="1" x14ac:dyDescent="0.25">
      <c r="A63" s="21" t="str">
        <f>CONCATENATE("High chair","")</f>
        <v>High chair</v>
      </c>
      <c r="B63" s="22" t="s">
        <v>7</v>
      </c>
      <c r="C63" s="23"/>
      <c r="D63" s="24">
        <f>10+0</f>
        <v>10</v>
      </c>
      <c r="E63" s="30"/>
      <c r="F63" s="26">
        <f t="shared" si="6"/>
        <v>30</v>
      </c>
      <c r="G63" s="38"/>
      <c r="H63" s="24">
        <f>50+0</f>
        <v>50</v>
      </c>
      <c r="I63" s="29">
        <f t="shared" si="7"/>
        <v>0</v>
      </c>
    </row>
    <row r="64" spans="1:9" ht="14.45" customHeight="1" x14ac:dyDescent="0.25">
      <c r="A64" s="21" t="str">
        <f>CONCATENATE("Kitchen cabinet","")</f>
        <v>Kitchen cabinet</v>
      </c>
      <c r="B64" s="22" t="s">
        <v>7</v>
      </c>
      <c r="C64" s="23"/>
      <c r="D64" s="24">
        <f>25+0</f>
        <v>25</v>
      </c>
      <c r="E64" s="30"/>
      <c r="F64" s="26">
        <f t="shared" si="6"/>
        <v>50</v>
      </c>
      <c r="G64" s="38"/>
      <c r="H64" s="24">
        <f>75+0</f>
        <v>75</v>
      </c>
      <c r="I64" s="29">
        <f t="shared" si="7"/>
        <v>0</v>
      </c>
    </row>
    <row r="65" spans="1:9" ht="14.45" customHeight="1" x14ac:dyDescent="0.25">
      <c r="A65" s="21" t="str">
        <f>CONCATENATE("Kitchen chair","")</f>
        <v>Kitchen chair</v>
      </c>
      <c r="B65" s="22" t="s">
        <v>7</v>
      </c>
      <c r="C65" s="23"/>
      <c r="D65" s="24">
        <f>3+0</f>
        <v>3</v>
      </c>
      <c r="E65" s="30"/>
      <c r="F65" s="26">
        <f t="shared" si="6"/>
        <v>6.5</v>
      </c>
      <c r="G65" s="38"/>
      <c r="H65" s="24">
        <f>10+0</f>
        <v>10</v>
      </c>
      <c r="I65" s="29">
        <f t="shared" si="7"/>
        <v>0</v>
      </c>
    </row>
    <row r="66" spans="1:9" ht="14.45" customHeight="1" x14ac:dyDescent="0.25">
      <c r="A66" s="21" t="str">
        <f>CONCATENATE("Mattress double","")</f>
        <v>Mattress double</v>
      </c>
      <c r="B66" s="22" t="s">
        <v>7</v>
      </c>
      <c r="C66" s="23"/>
      <c r="D66" s="24">
        <f>35+0</f>
        <v>35</v>
      </c>
      <c r="E66" s="30"/>
      <c r="F66" s="26">
        <f t="shared" si="6"/>
        <v>102.5</v>
      </c>
      <c r="G66" s="38"/>
      <c r="H66" s="24">
        <f>170+0</f>
        <v>170</v>
      </c>
      <c r="I66" s="29">
        <f t="shared" si="7"/>
        <v>0</v>
      </c>
    </row>
    <row r="67" spans="1:9" ht="14.45" customHeight="1" x14ac:dyDescent="0.25">
      <c r="A67" s="21" t="str">
        <f>CONCATENATE("Mattress double","")</f>
        <v>Mattress double</v>
      </c>
      <c r="B67" s="22" t="s">
        <v>7</v>
      </c>
      <c r="C67" s="23"/>
      <c r="D67" s="24">
        <f>13+0</f>
        <v>13</v>
      </c>
      <c r="E67" s="30"/>
      <c r="F67" s="26">
        <f t="shared" si="6"/>
        <v>44</v>
      </c>
      <c r="G67" s="38"/>
      <c r="H67" s="24">
        <f>75+0</f>
        <v>75</v>
      </c>
      <c r="I67" s="29">
        <f t="shared" si="7"/>
        <v>0</v>
      </c>
    </row>
    <row r="68" spans="1:9" ht="14.45" customHeight="1" x14ac:dyDescent="0.25">
      <c r="A68" s="21" t="str">
        <f>CONCATENATE("Mattress single","")</f>
        <v>Mattress single</v>
      </c>
      <c r="B68" s="22" t="s">
        <v>7</v>
      </c>
      <c r="C68" s="23"/>
      <c r="D68" s="24">
        <f>15+0</f>
        <v>15</v>
      </c>
      <c r="E68" s="30"/>
      <c r="F68" s="26">
        <f t="shared" si="6"/>
        <v>25</v>
      </c>
      <c r="G68" s="38"/>
      <c r="H68" s="24">
        <f>35+0</f>
        <v>35</v>
      </c>
      <c r="I68" s="29">
        <f t="shared" si="7"/>
        <v>0</v>
      </c>
    </row>
    <row r="69" spans="1:9" ht="14.45" customHeight="1" x14ac:dyDescent="0.25">
      <c r="A69" s="21" t="str">
        <f>CONCATENATE("Piano","")</f>
        <v>Piano</v>
      </c>
      <c r="B69" s="22" t="s">
        <v>1</v>
      </c>
      <c r="C69" s="23"/>
      <c r="D69" s="24">
        <f>90+0</f>
        <v>90</v>
      </c>
      <c r="E69" s="30"/>
      <c r="F69" s="26">
        <f t="shared" si="6"/>
        <v>170</v>
      </c>
      <c r="G69" s="38"/>
      <c r="H69" s="24">
        <f>250+0</f>
        <v>250</v>
      </c>
      <c r="I69" s="29">
        <f t="shared" si="7"/>
        <v>0</v>
      </c>
    </row>
    <row r="70" spans="1:9" ht="14.45" customHeight="1" x14ac:dyDescent="0.25">
      <c r="A70" s="21" t="str">
        <f>CONCATENATE("Ping pong table","")</f>
        <v>Ping pong table</v>
      </c>
      <c r="B70" s="22" t="s">
        <v>1</v>
      </c>
      <c r="C70" s="23"/>
      <c r="D70" s="24">
        <f>15+0</f>
        <v>15</v>
      </c>
      <c r="E70" s="30"/>
      <c r="F70" s="26">
        <f t="shared" si="6"/>
        <v>45</v>
      </c>
      <c r="G70" s="38"/>
      <c r="H70" s="24">
        <f>75+0</f>
        <v>75</v>
      </c>
      <c r="I70" s="29">
        <f t="shared" si="7"/>
        <v>0</v>
      </c>
    </row>
    <row r="71" spans="1:9" ht="14.45" customHeight="1" x14ac:dyDescent="0.25">
      <c r="A71" s="21" t="str">
        <f>CONCATENATE("Playpen","")</f>
        <v>Playpen</v>
      </c>
      <c r="B71" s="22" t="s">
        <v>7</v>
      </c>
      <c r="C71" s="23"/>
      <c r="D71" s="24">
        <f>4+0</f>
        <v>4</v>
      </c>
      <c r="E71" s="30"/>
      <c r="F71" s="26">
        <f t="shared" si="6"/>
        <v>17</v>
      </c>
      <c r="G71" s="38"/>
      <c r="H71" s="24">
        <f>30+0</f>
        <v>30</v>
      </c>
      <c r="I71" s="29">
        <f t="shared" si="7"/>
        <v>0</v>
      </c>
    </row>
    <row r="72" spans="1:9" ht="14.45" customHeight="1" x14ac:dyDescent="0.25">
      <c r="A72" s="21" t="str">
        <f>CONCATENATE("Pool table","")</f>
        <v>Pool table</v>
      </c>
      <c r="B72" s="22" t="s">
        <v>1</v>
      </c>
      <c r="C72" s="23"/>
      <c r="D72" s="24">
        <f>60+0</f>
        <v>60</v>
      </c>
      <c r="E72" s="30"/>
      <c r="F72" s="26">
        <f t="shared" si="6"/>
        <v>230</v>
      </c>
      <c r="G72" s="38"/>
      <c r="H72" s="24">
        <f>400+0</f>
        <v>400</v>
      </c>
      <c r="I72" s="29">
        <f t="shared" si="7"/>
        <v>0</v>
      </c>
    </row>
    <row r="73" spans="1:9" ht="14.45" customHeight="1" x14ac:dyDescent="0.25">
      <c r="A73" s="21" t="str">
        <f>CONCATENATE("Rugs","")</f>
        <v>Rugs</v>
      </c>
      <c r="B73" s="22" t="s">
        <v>7</v>
      </c>
      <c r="C73" s="23"/>
      <c r="D73" s="24">
        <f>20+0</f>
        <v>20</v>
      </c>
      <c r="E73" s="30"/>
      <c r="F73" s="26">
        <f t="shared" si="6"/>
        <v>55</v>
      </c>
      <c r="G73" s="38"/>
      <c r="H73" s="24">
        <f>90+0</f>
        <v>90</v>
      </c>
      <c r="I73" s="29">
        <f t="shared" si="7"/>
        <v>0</v>
      </c>
    </row>
    <row r="74" spans="1:9" ht="14.45" customHeight="1" x14ac:dyDescent="0.25">
      <c r="A74" s="21" t="str">
        <f>CONCATENATE("Secretary","")</f>
        <v>Secretary</v>
      </c>
      <c r="B74" s="22" t="s">
        <v>7</v>
      </c>
      <c r="C74" s="23"/>
      <c r="D74" s="24">
        <f>50+0</f>
        <v>50</v>
      </c>
      <c r="E74" s="30"/>
      <c r="F74" s="26">
        <f t="shared" si="6"/>
        <v>95</v>
      </c>
      <c r="G74" s="38"/>
      <c r="H74" s="24">
        <f>140+0</f>
        <v>140</v>
      </c>
      <c r="I74" s="29">
        <f t="shared" si="7"/>
        <v>0</v>
      </c>
    </row>
    <row r="75" spans="1:9" ht="14.45" customHeight="1" x14ac:dyDescent="0.25">
      <c r="A75" s="21" t="str">
        <f>CONCATENATE("Sleeper sofa w/mattress","")</f>
        <v>Sleeper sofa w/mattress</v>
      </c>
      <c r="B75" s="22" t="s">
        <v>7</v>
      </c>
      <c r="C75" s="23"/>
      <c r="D75" s="24">
        <f>85+0</f>
        <v>85</v>
      </c>
      <c r="E75" s="30"/>
      <c r="F75" s="26">
        <f t="shared" si="6"/>
        <v>192.5</v>
      </c>
      <c r="G75" s="38"/>
      <c r="H75" s="24">
        <f>300+0</f>
        <v>300</v>
      </c>
      <c r="I75" s="29">
        <f t="shared" si="7"/>
        <v>0</v>
      </c>
    </row>
    <row r="76" spans="1:9" ht="14.45" customHeight="1" x14ac:dyDescent="0.25">
      <c r="A76" s="21" t="str">
        <f>CONCATENATE("Sofa","")</f>
        <v>Sofa</v>
      </c>
      <c r="B76" s="22" t="s">
        <v>7</v>
      </c>
      <c r="C76" s="23"/>
      <c r="D76" s="24">
        <f>35+0</f>
        <v>35</v>
      </c>
      <c r="E76" s="30"/>
      <c r="F76" s="26">
        <f t="shared" si="6"/>
        <v>117.5</v>
      </c>
      <c r="G76" s="38"/>
      <c r="H76" s="24">
        <f>200+0</f>
        <v>200</v>
      </c>
      <c r="I76" s="29">
        <f t="shared" si="7"/>
        <v>0</v>
      </c>
    </row>
    <row r="77" spans="1:9" ht="14.45" customHeight="1" x14ac:dyDescent="0.25">
      <c r="A77" s="21" t="str">
        <f>CONCATENATE("Trunk","")</f>
        <v>Trunk</v>
      </c>
      <c r="B77" s="22" t="s">
        <v>7</v>
      </c>
      <c r="C77" s="23"/>
      <c r="D77" s="24">
        <f>5+0</f>
        <v>5</v>
      </c>
      <c r="E77" s="30"/>
      <c r="F77" s="26">
        <f t="shared" si="6"/>
        <v>37.5</v>
      </c>
      <c r="G77" s="38"/>
      <c r="H77" s="24">
        <f>70+0</f>
        <v>70</v>
      </c>
      <c r="I77" s="29">
        <f t="shared" si="7"/>
        <v>0</v>
      </c>
    </row>
    <row r="78" spans="1:9" ht="14.45" customHeight="1" x14ac:dyDescent="0.25">
      <c r="A78" s="21" t="str">
        <f>CONCATENATE("Wardrobe","")</f>
        <v>Wardrobe</v>
      </c>
      <c r="B78" s="22" t="s">
        <v>7</v>
      </c>
      <c r="C78" s="23"/>
      <c r="D78" s="24">
        <f>20+0</f>
        <v>20</v>
      </c>
      <c r="E78" s="30"/>
      <c r="F78" s="26">
        <f t="shared" si="6"/>
        <v>60</v>
      </c>
      <c r="G78" s="38"/>
      <c r="H78" s="24">
        <f>100+0</f>
        <v>100</v>
      </c>
      <c r="I78" s="29">
        <f t="shared" si="7"/>
        <v>0</v>
      </c>
    </row>
    <row r="79" spans="1:9" ht="15" customHeight="1" x14ac:dyDescent="0.25"/>
    <row r="80" spans="1:9" ht="15" customHeight="1" x14ac:dyDescent="0.25">
      <c r="A80" s="7" t="str">
        <f>CONCATENATE("Household","")</f>
        <v>Household</v>
      </c>
      <c r="B80" s="31" t="str">
        <f>$B$6</f>
        <v>Source</v>
      </c>
      <c r="C80" s="32" t="str">
        <f>$C$6</f>
        <v>Qty</v>
      </c>
      <c r="D80" s="33" t="str">
        <f>$D$6</f>
        <v>Low</v>
      </c>
      <c r="E80" s="32" t="str">
        <f>$E$6</f>
        <v>Qty</v>
      </c>
      <c r="F80" s="33" t="str">
        <f>$F$6</f>
        <v>Avg</v>
      </c>
      <c r="G80" s="32" t="str">
        <f>$G$6</f>
        <v>Qty</v>
      </c>
      <c r="H80" s="33" t="str">
        <f>$H$6</f>
        <v>High</v>
      </c>
      <c r="I80" s="34" t="str">
        <f>$I$6</f>
        <v>Total</v>
      </c>
    </row>
    <row r="81" spans="1:9" ht="14.45" customHeight="1" x14ac:dyDescent="0.25">
      <c r="A81" s="12" t="str">
        <f>CONCATENATE("Bakeware","")</f>
        <v>Bakeware</v>
      </c>
      <c r="B81" s="13" t="s">
        <v>7</v>
      </c>
      <c r="C81" s="14"/>
      <c r="D81" s="15">
        <f>1+0</f>
        <v>1</v>
      </c>
      <c r="E81" s="14"/>
      <c r="F81" s="17">
        <f t="shared" ref="F81:F102" si="8">(D81+H81)/2</f>
        <v>2</v>
      </c>
      <c r="G81" s="18"/>
      <c r="H81" s="15">
        <f>3+0</f>
        <v>3</v>
      </c>
      <c r="I81" s="20">
        <f t="shared" ref="I81:I102" si="9">C81*D81+E81*F81+G81*H81</f>
        <v>0</v>
      </c>
    </row>
    <row r="82" spans="1:9" ht="14.45" customHeight="1" x14ac:dyDescent="0.25">
      <c r="A82" s="21" t="str">
        <f>CONCATENATE("Bedspread or Quilts","")</f>
        <v>Bedspread or Quilts</v>
      </c>
      <c r="B82" s="22" t="s">
        <v>7</v>
      </c>
      <c r="C82" s="23"/>
      <c r="D82" s="24">
        <f>3+0</f>
        <v>3</v>
      </c>
      <c r="E82" s="23"/>
      <c r="F82" s="26">
        <f t="shared" si="8"/>
        <v>13.5</v>
      </c>
      <c r="G82" s="27"/>
      <c r="H82" s="24">
        <f>24+0</f>
        <v>24</v>
      </c>
      <c r="I82" s="29">
        <f t="shared" si="9"/>
        <v>0</v>
      </c>
    </row>
    <row r="83" spans="1:9" ht="14.45" customHeight="1" x14ac:dyDescent="0.25">
      <c r="A83" s="21" t="str">
        <f>CONCATENATE("Blanket","")</f>
        <v>Blanket</v>
      </c>
      <c r="B83" s="22" t="s">
        <v>7</v>
      </c>
      <c r="C83" s="23"/>
      <c r="D83" s="24">
        <f>3+0</f>
        <v>3</v>
      </c>
      <c r="E83" s="23"/>
      <c r="F83" s="26">
        <f t="shared" si="8"/>
        <v>9</v>
      </c>
      <c r="G83" s="27"/>
      <c r="H83" s="24">
        <f>15+0</f>
        <v>15</v>
      </c>
      <c r="I83" s="29">
        <f t="shared" si="9"/>
        <v>0</v>
      </c>
    </row>
    <row r="84" spans="1:9" ht="14.45" customHeight="1" x14ac:dyDescent="0.25">
      <c r="A84" s="21" t="str">
        <f>CONCATENATE("Chair or Sofa cover","")</f>
        <v>Chair or Sofa cover</v>
      </c>
      <c r="B84" s="22" t="s">
        <v>7</v>
      </c>
      <c r="C84" s="23"/>
      <c r="D84" s="24">
        <f>15+0</f>
        <v>15</v>
      </c>
      <c r="E84" s="23"/>
      <c r="F84" s="26">
        <f t="shared" si="8"/>
        <v>25</v>
      </c>
      <c r="G84" s="27"/>
      <c r="H84" s="24">
        <f>35+0</f>
        <v>35</v>
      </c>
      <c r="I84" s="29">
        <f t="shared" si="9"/>
        <v>0</v>
      </c>
    </row>
    <row r="85" spans="1:9" ht="14.45" customHeight="1" x14ac:dyDescent="0.25">
      <c r="A85" s="21" t="str">
        <f>CONCATENATE("Coffeemaker","")</f>
        <v>Coffeemaker</v>
      </c>
      <c r="B85" s="22" t="s">
        <v>7</v>
      </c>
      <c r="C85" s="23"/>
      <c r="D85" s="24">
        <f>4+0</f>
        <v>4</v>
      </c>
      <c r="E85" s="23"/>
      <c r="F85" s="26">
        <f t="shared" si="8"/>
        <v>9.5</v>
      </c>
      <c r="G85" s="27"/>
      <c r="H85" s="24">
        <f>15+0</f>
        <v>15</v>
      </c>
      <c r="I85" s="29">
        <f t="shared" si="9"/>
        <v>0</v>
      </c>
    </row>
    <row r="86" spans="1:9" ht="14.45" customHeight="1" x14ac:dyDescent="0.25">
      <c r="A86" s="21" t="str">
        <f>CONCATENATE("Curtains","")</f>
        <v>Curtains</v>
      </c>
      <c r="B86" s="22" t="s">
        <v>7</v>
      </c>
      <c r="C86" s="23"/>
      <c r="D86" s="24">
        <f>2+0</f>
        <v>2</v>
      </c>
      <c r="E86" s="23"/>
      <c r="F86" s="26">
        <f t="shared" si="8"/>
        <v>7</v>
      </c>
      <c r="G86" s="27"/>
      <c r="H86" s="24">
        <f>12+0</f>
        <v>12</v>
      </c>
      <c r="I86" s="29">
        <f t="shared" si="9"/>
        <v>0</v>
      </c>
    </row>
    <row r="87" spans="1:9" ht="14.45" customHeight="1" x14ac:dyDescent="0.25">
      <c r="A87" s="21" t="str">
        <f>CONCATENATE("Drapes","")</f>
        <v>Drapes</v>
      </c>
      <c r="B87" s="22" t="s">
        <v>7</v>
      </c>
      <c r="C87" s="23"/>
      <c r="D87" s="24">
        <f>7+0</f>
        <v>7</v>
      </c>
      <c r="E87" s="23"/>
      <c r="F87" s="26">
        <f t="shared" si="8"/>
        <v>23.5</v>
      </c>
      <c r="G87" s="27"/>
      <c r="H87" s="24">
        <f>40+0</f>
        <v>40</v>
      </c>
      <c r="I87" s="29">
        <f t="shared" si="9"/>
        <v>0</v>
      </c>
    </row>
    <row r="88" spans="1:9" ht="14.45" customHeight="1" x14ac:dyDescent="0.25">
      <c r="A88" s="21" t="str">
        <f>CONCATENATE("Fireplace set","")</f>
        <v>Fireplace set</v>
      </c>
      <c r="B88" s="22" t="s">
        <v>7</v>
      </c>
      <c r="C88" s="23"/>
      <c r="D88" s="24">
        <f>20+0</f>
        <v>20</v>
      </c>
      <c r="E88" s="23"/>
      <c r="F88" s="26">
        <f t="shared" si="8"/>
        <v>50</v>
      </c>
      <c r="G88" s="27"/>
      <c r="H88" s="24">
        <f>80+0</f>
        <v>80</v>
      </c>
      <c r="I88" s="29">
        <f t="shared" si="9"/>
        <v>0</v>
      </c>
    </row>
    <row r="89" spans="1:9" ht="14.45" customHeight="1" x14ac:dyDescent="0.25">
      <c r="A89" s="21" t="str">
        <f>CONCATENATE("Floor lamp","")</f>
        <v>Floor lamp</v>
      </c>
      <c r="B89" s="22" t="s">
        <v>7</v>
      </c>
      <c r="C89" s="23"/>
      <c r="D89" s="24">
        <f>6+0</f>
        <v>6</v>
      </c>
      <c r="E89" s="23"/>
      <c r="F89" s="26">
        <f t="shared" si="8"/>
        <v>28</v>
      </c>
      <c r="G89" s="27"/>
      <c r="H89" s="24">
        <f>50+0</f>
        <v>50</v>
      </c>
      <c r="I89" s="29">
        <f t="shared" si="9"/>
        <v>0</v>
      </c>
    </row>
    <row r="90" spans="1:9" ht="14.45" customHeight="1" x14ac:dyDescent="0.25">
      <c r="A90" s="21" t="str">
        <f>CONCATENATE("Glass cup","")</f>
        <v>Glass cup</v>
      </c>
      <c r="B90" s="22" t="s">
        <v>7</v>
      </c>
      <c r="C90" s="23"/>
      <c r="D90" s="24">
        <f>1+0</f>
        <v>1</v>
      </c>
      <c r="E90" s="23"/>
      <c r="F90" s="26">
        <f t="shared" si="8"/>
        <v>1.5</v>
      </c>
      <c r="G90" s="27"/>
      <c r="H90" s="24">
        <f>2+0</f>
        <v>2</v>
      </c>
      <c r="I90" s="29">
        <f t="shared" si="9"/>
        <v>0</v>
      </c>
    </row>
    <row r="91" spans="1:9" ht="14.45" customHeight="1" x14ac:dyDescent="0.25">
      <c r="A91" s="21" t="str">
        <f>CONCATENATE("Griddle","")</f>
        <v>Griddle</v>
      </c>
      <c r="B91" s="22" t="s">
        <v>7</v>
      </c>
      <c r="C91" s="23"/>
      <c r="D91" s="24">
        <f>4+0</f>
        <v>4</v>
      </c>
      <c r="E91" s="23"/>
      <c r="F91" s="26">
        <f t="shared" si="8"/>
        <v>8</v>
      </c>
      <c r="G91" s="27"/>
      <c r="H91" s="24">
        <f>12+0</f>
        <v>12</v>
      </c>
      <c r="I91" s="29">
        <f t="shared" si="9"/>
        <v>0</v>
      </c>
    </row>
    <row r="92" spans="1:9" ht="14.45" customHeight="1" x14ac:dyDescent="0.25">
      <c r="A92" s="21" t="str">
        <f>CONCATENATE("Kitchen utensils","")</f>
        <v>Kitchen utensils</v>
      </c>
      <c r="B92" s="22" t="s">
        <v>7</v>
      </c>
      <c r="C92" s="23"/>
      <c r="D92" s="24">
        <f>1+0</f>
        <v>1</v>
      </c>
      <c r="E92" s="23"/>
      <c r="F92" s="26">
        <f t="shared" si="8"/>
        <v>1.5</v>
      </c>
      <c r="G92" s="27"/>
      <c r="H92" s="24">
        <f>2+0</f>
        <v>2</v>
      </c>
      <c r="I92" s="29">
        <f t="shared" si="9"/>
        <v>0</v>
      </c>
    </row>
    <row r="93" spans="1:9" ht="14.45" customHeight="1" x14ac:dyDescent="0.25">
      <c r="A93" s="21" t="str">
        <f>CONCATENATE("Lamp","")</f>
        <v>Lamp</v>
      </c>
      <c r="B93" s="22" t="s">
        <v>7</v>
      </c>
      <c r="C93" s="23"/>
      <c r="D93" s="24">
        <f>5+0</f>
        <v>5</v>
      </c>
      <c r="E93" s="23"/>
      <c r="F93" s="26">
        <f t="shared" si="8"/>
        <v>40</v>
      </c>
      <c r="G93" s="27"/>
      <c r="H93" s="24">
        <f>75+0</f>
        <v>75</v>
      </c>
      <c r="I93" s="29">
        <f t="shared" si="9"/>
        <v>0</v>
      </c>
    </row>
    <row r="94" spans="1:9" ht="14.45" customHeight="1" x14ac:dyDescent="0.25">
      <c r="A94" s="21" t="str">
        <f>CONCATENATE("Mixer blender","")</f>
        <v>Mixer blender</v>
      </c>
      <c r="B94" s="22" t="s">
        <v>7</v>
      </c>
      <c r="C94" s="23"/>
      <c r="D94" s="24">
        <f>5+0</f>
        <v>5</v>
      </c>
      <c r="E94" s="23"/>
      <c r="F94" s="26">
        <f t="shared" si="8"/>
        <v>12.5</v>
      </c>
      <c r="G94" s="27"/>
      <c r="H94" s="24">
        <f>20+0</f>
        <v>20</v>
      </c>
      <c r="I94" s="29">
        <f t="shared" si="9"/>
        <v>0</v>
      </c>
    </row>
    <row r="95" spans="1:9" ht="14.45" customHeight="1" x14ac:dyDescent="0.25">
      <c r="A95" s="21" t="str">
        <f>CONCATENATE("Picture or Painting","")</f>
        <v>Picture or Painting</v>
      </c>
      <c r="B95" s="22" t="s">
        <v>7</v>
      </c>
      <c r="C95" s="23"/>
      <c r="D95" s="24">
        <f>5+0</f>
        <v>5</v>
      </c>
      <c r="E95" s="23"/>
      <c r="F95" s="26">
        <f t="shared" si="8"/>
        <v>102.5</v>
      </c>
      <c r="G95" s="27"/>
      <c r="H95" s="24">
        <f>200+0</f>
        <v>200</v>
      </c>
      <c r="I95" s="29">
        <f t="shared" si="9"/>
        <v>0</v>
      </c>
    </row>
    <row r="96" spans="1:9" ht="14.45" customHeight="1" x14ac:dyDescent="0.25">
      <c r="A96" s="21" t="str">
        <f>CONCATENATE("Pillow","")</f>
        <v>Pillow</v>
      </c>
      <c r="B96" s="22" t="s">
        <v>7</v>
      </c>
      <c r="C96" s="23"/>
      <c r="D96" s="24">
        <f>2+0</f>
        <v>2</v>
      </c>
      <c r="E96" s="23"/>
      <c r="F96" s="26">
        <f t="shared" si="8"/>
        <v>5</v>
      </c>
      <c r="G96" s="27"/>
      <c r="H96" s="24">
        <f>8+0</f>
        <v>8</v>
      </c>
      <c r="I96" s="29">
        <f t="shared" si="9"/>
        <v>0</v>
      </c>
    </row>
    <row r="97" spans="1:9" ht="14.45" customHeight="1" x14ac:dyDescent="0.25">
      <c r="A97" s="21" t="str">
        <f>CONCATENATE("Plate","")</f>
        <v>Plate</v>
      </c>
      <c r="B97" s="22" t="s">
        <v>7</v>
      </c>
      <c r="C97" s="23"/>
      <c r="D97" s="24">
        <f>1+0</f>
        <v>1</v>
      </c>
      <c r="E97" s="23"/>
      <c r="F97" s="26">
        <f t="shared" si="8"/>
        <v>2</v>
      </c>
      <c r="G97" s="27"/>
      <c r="H97" s="24">
        <f>3+0</f>
        <v>3</v>
      </c>
      <c r="I97" s="29">
        <f t="shared" si="9"/>
        <v>0</v>
      </c>
    </row>
    <row r="98" spans="1:9" ht="14.45" customHeight="1" x14ac:dyDescent="0.25">
      <c r="A98" s="21" t="str">
        <f>CONCATENATE("Pot/Pan","")</f>
        <v>Pot/Pan</v>
      </c>
      <c r="B98" s="22" t="s">
        <v>7</v>
      </c>
      <c r="C98" s="23"/>
      <c r="D98" s="24">
        <f>1+0</f>
        <v>1</v>
      </c>
      <c r="E98" s="23"/>
      <c r="F98" s="26">
        <f t="shared" si="8"/>
        <v>2</v>
      </c>
      <c r="G98" s="27"/>
      <c r="H98" s="24">
        <f>3+0</f>
        <v>3</v>
      </c>
      <c r="I98" s="29">
        <f t="shared" si="9"/>
        <v>0</v>
      </c>
    </row>
    <row r="99" spans="1:9" ht="14.45" customHeight="1" x14ac:dyDescent="0.25">
      <c r="A99" s="21" t="str">
        <f>CONCATENATE("Radio","")</f>
        <v>Radio</v>
      </c>
      <c r="B99" s="22" t="s">
        <v>7</v>
      </c>
      <c r="C99" s="23"/>
      <c r="D99" s="24">
        <f>8+0</f>
        <v>8</v>
      </c>
      <c r="E99" s="23"/>
      <c r="F99" s="26">
        <f t="shared" si="8"/>
        <v>29</v>
      </c>
      <c r="G99" s="27"/>
      <c r="H99" s="24">
        <f>50+0</f>
        <v>50</v>
      </c>
      <c r="I99" s="29">
        <f t="shared" si="9"/>
        <v>0</v>
      </c>
    </row>
    <row r="100" spans="1:9" ht="14.45" customHeight="1" x14ac:dyDescent="0.25">
      <c r="A100" s="21" t="str">
        <f>CONCATENATE("Sheets","")</f>
        <v>Sheets</v>
      </c>
      <c r="B100" s="22" t="s">
        <v>7</v>
      </c>
      <c r="C100" s="23"/>
      <c r="D100" s="24">
        <f>2+0</f>
        <v>2</v>
      </c>
      <c r="E100" s="23"/>
      <c r="F100" s="26">
        <f t="shared" si="8"/>
        <v>5</v>
      </c>
      <c r="G100" s="27"/>
      <c r="H100" s="24">
        <f>8+0</f>
        <v>8</v>
      </c>
      <c r="I100" s="29">
        <f t="shared" si="9"/>
        <v>0</v>
      </c>
    </row>
    <row r="101" spans="1:9" ht="14.45" customHeight="1" x14ac:dyDescent="0.25">
      <c r="A101" s="21" t="str">
        <f>CONCATENATE("Throw rug","")</f>
        <v>Throw rug</v>
      </c>
      <c r="B101" s="22" t="s">
        <v>7</v>
      </c>
      <c r="C101" s="23"/>
      <c r="D101" s="24">
        <f>2+0</f>
        <v>2</v>
      </c>
      <c r="E101" s="23"/>
      <c r="F101" s="26">
        <f t="shared" si="8"/>
        <v>7</v>
      </c>
      <c r="G101" s="27"/>
      <c r="H101" s="24">
        <f>12+0</f>
        <v>12</v>
      </c>
      <c r="I101" s="29">
        <f t="shared" si="9"/>
        <v>0</v>
      </c>
    </row>
    <row r="102" spans="1:9" ht="14.45" customHeight="1" x14ac:dyDescent="0.25">
      <c r="A102" s="21" t="str">
        <f>CONCATENATE("Towels","")</f>
        <v>Towels</v>
      </c>
      <c r="B102" s="22" t="s">
        <v>7</v>
      </c>
      <c r="C102" s="23"/>
      <c r="D102" s="24">
        <f>1+0</f>
        <v>1</v>
      </c>
      <c r="E102" s="23"/>
      <c r="F102" s="26">
        <f t="shared" si="8"/>
        <v>2.5</v>
      </c>
      <c r="G102" s="27"/>
      <c r="H102" s="24">
        <f>4+0</f>
        <v>4</v>
      </c>
      <c r="I102" s="29">
        <f t="shared" si="9"/>
        <v>0</v>
      </c>
    </row>
    <row r="103" spans="1:9" ht="15" customHeight="1" x14ac:dyDescent="0.25"/>
    <row r="104" spans="1:9" ht="15" customHeight="1" x14ac:dyDescent="0.25">
      <c r="A104" s="7" t="str">
        <f>CONCATENATE("Mens","")</f>
        <v>Mens</v>
      </c>
      <c r="B104" s="31" t="str">
        <f>$B$6</f>
        <v>Source</v>
      </c>
      <c r="C104" s="32" t="str">
        <f>$C$6</f>
        <v>Qty</v>
      </c>
      <c r="D104" s="33" t="str">
        <f>$D$6</f>
        <v>Low</v>
      </c>
      <c r="E104" s="32" t="str">
        <f>$E$6</f>
        <v>Qty</v>
      </c>
      <c r="F104" s="33" t="str">
        <f>$F$6</f>
        <v>Avg</v>
      </c>
      <c r="G104" s="32" t="str">
        <f>$G$6</f>
        <v>Qty</v>
      </c>
      <c r="H104" s="33" t="str">
        <f>$H$6</f>
        <v>High</v>
      </c>
      <c r="I104" s="34" t="str">
        <f>$I$6</f>
        <v>Total</v>
      </c>
    </row>
    <row r="105" spans="1:9" ht="14.45" customHeight="1" x14ac:dyDescent="0.25">
      <c r="A105" s="12" t="str">
        <f>CONCATENATE("Belts-leather","")</f>
        <v>Belts-leather</v>
      </c>
      <c r="B105" s="13" t="s">
        <v>3</v>
      </c>
      <c r="C105" s="14"/>
      <c r="D105" s="15">
        <f>5+0</f>
        <v>5</v>
      </c>
      <c r="E105" s="14"/>
      <c r="F105" s="17">
        <f t="shared" ref="F105:F130" si="10">(D105+H105)/2</f>
        <v>10</v>
      </c>
      <c r="G105" s="18"/>
      <c r="H105" s="15">
        <f>15+0</f>
        <v>15</v>
      </c>
      <c r="I105" s="20">
        <f t="shared" ref="I105:I130" si="11">C105*D105+E105*F105+G105*H105</f>
        <v>0</v>
      </c>
    </row>
    <row r="106" spans="1:9" ht="14.45" customHeight="1" x14ac:dyDescent="0.25">
      <c r="A106" s="21" t="str">
        <f>CONCATENATE("Belts-other","")</f>
        <v>Belts-other</v>
      </c>
      <c r="B106" s="22" t="s">
        <v>3</v>
      </c>
      <c r="C106" s="23"/>
      <c r="D106" s="24">
        <f>2+0</f>
        <v>2</v>
      </c>
      <c r="E106" s="23"/>
      <c r="F106" s="26">
        <f t="shared" si="10"/>
        <v>4</v>
      </c>
      <c r="G106" s="27"/>
      <c r="H106" s="24">
        <f>6+0</f>
        <v>6</v>
      </c>
      <c r="I106" s="29">
        <f t="shared" si="11"/>
        <v>0</v>
      </c>
    </row>
    <row r="107" spans="1:9" ht="14.45" customHeight="1" x14ac:dyDescent="0.25">
      <c r="A107" s="21" t="str">
        <f>CONCATENATE("Blazer","")</f>
        <v>Blazer</v>
      </c>
      <c r="B107" s="22" t="s">
        <v>3</v>
      </c>
      <c r="C107" s="23"/>
      <c r="D107" s="24">
        <f>6+0</f>
        <v>6</v>
      </c>
      <c r="E107" s="23"/>
      <c r="F107" s="26">
        <f t="shared" si="10"/>
        <v>9</v>
      </c>
      <c r="G107" s="27"/>
      <c r="H107" s="24">
        <f>12+0</f>
        <v>12</v>
      </c>
      <c r="I107" s="29">
        <f t="shared" si="11"/>
        <v>0</v>
      </c>
    </row>
    <row r="108" spans="1:9" ht="14.45" customHeight="1" x14ac:dyDescent="0.25">
      <c r="A108" s="21" t="str">
        <f>CONCATENATE("Boots-ankle","")</f>
        <v>Boots-ankle</v>
      </c>
      <c r="B108" s="22" t="s">
        <v>3</v>
      </c>
      <c r="C108" s="23"/>
      <c r="D108" s="24">
        <f>6+0</f>
        <v>6</v>
      </c>
      <c r="E108" s="23"/>
      <c r="F108" s="26">
        <f t="shared" si="10"/>
        <v>12</v>
      </c>
      <c r="G108" s="27"/>
      <c r="H108" s="24">
        <f>18+0</f>
        <v>18</v>
      </c>
      <c r="I108" s="29">
        <f t="shared" si="11"/>
        <v>0</v>
      </c>
    </row>
    <row r="109" spans="1:9" ht="14.45" customHeight="1" x14ac:dyDescent="0.25">
      <c r="A109" s="21" t="str">
        <f>CONCATENATE("Coats","")</f>
        <v>Coats</v>
      </c>
      <c r="B109" s="22" t="s">
        <v>3</v>
      </c>
      <c r="C109" s="23"/>
      <c r="D109" s="24">
        <f>7+0</f>
        <v>7</v>
      </c>
      <c r="E109" s="23"/>
      <c r="F109" s="26">
        <f t="shared" si="10"/>
        <v>23.5</v>
      </c>
      <c r="G109" s="27"/>
      <c r="H109" s="24">
        <f>40+0</f>
        <v>40</v>
      </c>
      <c r="I109" s="29">
        <f t="shared" si="11"/>
        <v>0</v>
      </c>
    </row>
    <row r="110" spans="1:9" ht="14.45" customHeight="1" x14ac:dyDescent="0.25">
      <c r="A110" s="21" t="str">
        <f>CONCATENATE("Jeans","")</f>
        <v>Jeans</v>
      </c>
      <c r="B110" s="22" t="s">
        <v>3</v>
      </c>
      <c r="C110" s="23"/>
      <c r="D110" s="24">
        <f>4+0</f>
        <v>4</v>
      </c>
      <c r="E110" s="23"/>
      <c r="F110" s="26">
        <f t="shared" si="10"/>
        <v>12.5</v>
      </c>
      <c r="G110" s="27"/>
      <c r="H110" s="24">
        <f>21+0</f>
        <v>21</v>
      </c>
      <c r="I110" s="29">
        <f t="shared" si="11"/>
        <v>0</v>
      </c>
    </row>
    <row r="111" spans="1:9" ht="14.45" customHeight="1" x14ac:dyDescent="0.25">
      <c r="A111" s="21" t="str">
        <f>CONCATENATE("Luggage","")</f>
        <v>Luggage</v>
      </c>
      <c r="B111" s="22" t="s">
        <v>3</v>
      </c>
      <c r="C111" s="23"/>
      <c r="D111" s="24">
        <f>5+0</f>
        <v>5</v>
      </c>
      <c r="E111" s="23"/>
      <c r="F111" s="26">
        <f t="shared" si="10"/>
        <v>10</v>
      </c>
      <c r="G111" s="27"/>
      <c r="H111" s="24">
        <f>15+0</f>
        <v>15</v>
      </c>
      <c r="I111" s="29">
        <f t="shared" si="11"/>
        <v>0</v>
      </c>
    </row>
    <row r="112" spans="1:9" ht="14.45" customHeight="1" x14ac:dyDescent="0.25">
      <c r="A112" s="21" t="str">
        <f>CONCATENATE("Pajamas","")</f>
        <v>Pajamas</v>
      </c>
      <c r="B112" s="22" t="s">
        <v>3</v>
      </c>
      <c r="C112" s="23"/>
      <c r="D112" s="24">
        <f>2+0</f>
        <v>2</v>
      </c>
      <c r="E112" s="23"/>
      <c r="F112" s="26">
        <f t="shared" si="10"/>
        <v>6</v>
      </c>
      <c r="G112" s="27"/>
      <c r="H112" s="24">
        <f>10+0</f>
        <v>10</v>
      </c>
      <c r="I112" s="29">
        <f t="shared" si="11"/>
        <v>0</v>
      </c>
    </row>
    <row r="113" spans="1:9" ht="14.45" customHeight="1" x14ac:dyDescent="0.25">
      <c r="A113" s="21" t="str">
        <f>CONCATENATE("Pants-casual","")</f>
        <v>Pants-casual</v>
      </c>
      <c r="B113" s="22" t="s">
        <v>3</v>
      </c>
      <c r="C113" s="23"/>
      <c r="D113" s="24">
        <f>2+0</f>
        <v>2</v>
      </c>
      <c r="E113" s="23"/>
      <c r="F113" s="26">
        <f t="shared" si="10"/>
        <v>6</v>
      </c>
      <c r="G113" s="27"/>
      <c r="H113" s="24">
        <f>10+0</f>
        <v>10</v>
      </c>
      <c r="I113" s="29">
        <f t="shared" si="11"/>
        <v>0</v>
      </c>
    </row>
    <row r="114" spans="1:9" ht="14.45" customHeight="1" x14ac:dyDescent="0.25">
      <c r="A114" s="21" t="str">
        <f>CONCATENATE("Pants-dress","")</f>
        <v>Pants-dress</v>
      </c>
      <c r="B114" s="22" t="s">
        <v>3</v>
      </c>
      <c r="C114" s="23"/>
      <c r="D114" s="24">
        <f>2+0</f>
        <v>2</v>
      </c>
      <c r="E114" s="23"/>
      <c r="F114" s="26">
        <f t="shared" si="10"/>
        <v>8.5</v>
      </c>
      <c r="G114" s="27"/>
      <c r="H114" s="24">
        <f>15+0</f>
        <v>15</v>
      </c>
      <c r="I114" s="29">
        <f t="shared" si="11"/>
        <v>0</v>
      </c>
    </row>
    <row r="115" spans="1:9" ht="14.45" customHeight="1" x14ac:dyDescent="0.25">
      <c r="A115" s="21" t="str">
        <f>CONCATENATE("Robe","")</f>
        <v>Robe</v>
      </c>
      <c r="B115" s="22" t="s">
        <v>3</v>
      </c>
      <c r="C115" s="23"/>
      <c r="D115" s="24">
        <f>2+0</f>
        <v>2</v>
      </c>
      <c r="E115" s="23"/>
      <c r="F115" s="26">
        <f t="shared" si="10"/>
        <v>6</v>
      </c>
      <c r="G115" s="27"/>
      <c r="H115" s="24">
        <f>10+0</f>
        <v>10</v>
      </c>
      <c r="I115" s="29">
        <f t="shared" si="11"/>
        <v>0</v>
      </c>
    </row>
    <row r="116" spans="1:9" ht="14.45" customHeight="1" x14ac:dyDescent="0.25">
      <c r="A116" s="21" t="str">
        <f>CONCATENATE("Sandals/Slippers","")</f>
        <v>Sandals/Slippers</v>
      </c>
      <c r="B116" s="22" t="s">
        <v>3</v>
      </c>
      <c r="C116" s="23"/>
      <c r="D116" s="24">
        <f>4+0</f>
        <v>4</v>
      </c>
      <c r="E116" s="23"/>
      <c r="F116" s="26">
        <f t="shared" si="10"/>
        <v>6.5</v>
      </c>
      <c r="G116" s="27"/>
      <c r="H116" s="24">
        <f>9+0</f>
        <v>9</v>
      </c>
      <c r="I116" s="29">
        <f t="shared" si="11"/>
        <v>0</v>
      </c>
    </row>
    <row r="117" spans="1:9" ht="14.45" customHeight="1" x14ac:dyDescent="0.25">
      <c r="A117" s="21" t="str">
        <f>CONCATENATE("Shirts","")</f>
        <v>Shirts</v>
      </c>
      <c r="B117" s="22" t="s">
        <v>7</v>
      </c>
      <c r="C117" s="23"/>
      <c r="D117" s="24">
        <f>3+0</f>
        <v>3</v>
      </c>
      <c r="E117" s="23"/>
      <c r="F117" s="26">
        <f t="shared" si="10"/>
        <v>7.5</v>
      </c>
      <c r="G117" s="27"/>
      <c r="H117" s="24">
        <f>12+0</f>
        <v>12</v>
      </c>
      <c r="I117" s="29">
        <f t="shared" si="11"/>
        <v>0</v>
      </c>
    </row>
    <row r="118" spans="1:9" ht="14.45" customHeight="1" x14ac:dyDescent="0.25">
      <c r="A118" s="21" t="str">
        <f>CONCATENATE("Shoes-tennis","")</f>
        <v>Shoes-tennis</v>
      </c>
      <c r="B118" s="22" t="s">
        <v>3</v>
      </c>
      <c r="C118" s="23"/>
      <c r="D118" s="24">
        <f>4+0</f>
        <v>4</v>
      </c>
      <c r="E118" s="23"/>
      <c r="F118" s="26">
        <f t="shared" si="10"/>
        <v>6.5</v>
      </c>
      <c r="G118" s="27"/>
      <c r="H118" s="24">
        <f>9+0</f>
        <v>9</v>
      </c>
      <c r="I118" s="29">
        <f t="shared" si="11"/>
        <v>0</v>
      </c>
    </row>
    <row r="119" spans="1:9" ht="14.45" customHeight="1" x14ac:dyDescent="0.25">
      <c r="A119" s="21" t="str">
        <f>CONCATENATE("Shorts","")</f>
        <v>Shorts</v>
      </c>
      <c r="B119" s="22" t="s">
        <v>7</v>
      </c>
      <c r="C119" s="23"/>
      <c r="D119" s="24">
        <f>4+0</f>
        <v>4</v>
      </c>
      <c r="E119" s="23"/>
      <c r="F119" s="26">
        <f t="shared" si="10"/>
        <v>7</v>
      </c>
      <c r="G119" s="27"/>
      <c r="H119" s="24">
        <f>10+0</f>
        <v>10</v>
      </c>
      <c r="I119" s="29">
        <f t="shared" si="11"/>
        <v>0</v>
      </c>
    </row>
    <row r="120" spans="1:9" ht="14.45" customHeight="1" x14ac:dyDescent="0.25">
      <c r="A120" s="21" t="str">
        <f>CONCATENATE("Sport Coats","")</f>
        <v>Sport Coats</v>
      </c>
      <c r="B120" s="22" t="s">
        <v>3</v>
      </c>
      <c r="C120" s="23"/>
      <c r="D120" s="24">
        <f>6+0</f>
        <v>6</v>
      </c>
      <c r="E120" s="23"/>
      <c r="F120" s="26">
        <f t="shared" si="10"/>
        <v>9</v>
      </c>
      <c r="G120" s="27"/>
      <c r="H120" s="24">
        <f>12+0</f>
        <v>12</v>
      </c>
      <c r="I120" s="29">
        <f t="shared" si="11"/>
        <v>0</v>
      </c>
    </row>
    <row r="121" spans="1:9" ht="14.45" customHeight="1" x14ac:dyDescent="0.25">
      <c r="A121" s="21" t="str">
        <f>CONCATENATE("Suits-2 piece","")</f>
        <v>Suits-2 piece</v>
      </c>
      <c r="B121" s="22" t="s">
        <v>3</v>
      </c>
      <c r="C121" s="23"/>
      <c r="D121" s="24">
        <f>10+0</f>
        <v>10</v>
      </c>
      <c r="E121" s="23"/>
      <c r="F121" s="26">
        <f t="shared" si="10"/>
        <v>20</v>
      </c>
      <c r="G121" s="27"/>
      <c r="H121" s="24">
        <f>30+0</f>
        <v>30</v>
      </c>
      <c r="I121" s="29">
        <f t="shared" si="11"/>
        <v>0</v>
      </c>
    </row>
    <row r="122" spans="1:9" ht="14.45" customHeight="1" x14ac:dyDescent="0.25">
      <c r="A122" s="21" t="str">
        <f>CONCATENATE("Sweaters","")</f>
        <v>Sweaters</v>
      </c>
      <c r="B122" s="22" t="s">
        <v>3</v>
      </c>
      <c r="C122" s="23"/>
      <c r="D122" s="24">
        <f>5+0</f>
        <v>5</v>
      </c>
      <c r="E122" s="23"/>
      <c r="F122" s="26">
        <f t="shared" si="10"/>
        <v>10</v>
      </c>
      <c r="G122" s="27"/>
      <c r="H122" s="24">
        <f>15+0</f>
        <v>15</v>
      </c>
      <c r="I122" s="29">
        <f t="shared" si="11"/>
        <v>0</v>
      </c>
    </row>
    <row r="123" spans="1:9" ht="14.45" customHeight="1" x14ac:dyDescent="0.25">
      <c r="A123" s="21" t="str">
        <f>CONCATENATE("Sweats-bottom","")</f>
        <v>Sweats-bottom</v>
      </c>
      <c r="B123" s="22" t="s">
        <v>3</v>
      </c>
      <c r="C123" s="23"/>
      <c r="D123" s="24">
        <f>2+0</f>
        <v>2</v>
      </c>
      <c r="E123" s="23"/>
      <c r="F123" s="26">
        <f t="shared" si="10"/>
        <v>7</v>
      </c>
      <c r="G123" s="27"/>
      <c r="H123" s="24">
        <f>12+0</f>
        <v>12</v>
      </c>
      <c r="I123" s="29">
        <f t="shared" si="11"/>
        <v>0</v>
      </c>
    </row>
    <row r="124" spans="1:9" ht="14.45" customHeight="1" x14ac:dyDescent="0.25">
      <c r="A124" s="21" t="str">
        <f>CONCATENATE("Sweats-top","")</f>
        <v>Sweats-top</v>
      </c>
      <c r="B124" s="22" t="s">
        <v>3</v>
      </c>
      <c r="C124" s="23"/>
      <c r="D124" s="24">
        <f>2+0</f>
        <v>2</v>
      </c>
      <c r="E124" s="23"/>
      <c r="F124" s="26">
        <f t="shared" si="10"/>
        <v>7</v>
      </c>
      <c r="G124" s="27"/>
      <c r="H124" s="24">
        <f>12+0</f>
        <v>12</v>
      </c>
      <c r="I124" s="29">
        <f t="shared" si="11"/>
        <v>0</v>
      </c>
    </row>
    <row r="125" spans="1:9" ht="14.45" customHeight="1" x14ac:dyDescent="0.25">
      <c r="A125" s="21" t="str">
        <f>CONCATENATE("Swimwear","")</f>
        <v>Swimwear</v>
      </c>
      <c r="B125" s="22" t="s">
        <v>3</v>
      </c>
      <c r="C125" s="23"/>
      <c r="D125" s="24">
        <f>4+0</f>
        <v>4</v>
      </c>
      <c r="E125" s="23"/>
      <c r="F125" s="26">
        <f t="shared" si="10"/>
        <v>8</v>
      </c>
      <c r="G125" s="27"/>
      <c r="H125" s="24">
        <f>12+0</f>
        <v>12</v>
      </c>
      <c r="I125" s="29">
        <f t="shared" si="11"/>
        <v>0</v>
      </c>
    </row>
    <row r="126" spans="1:9" ht="14.45" customHeight="1" x14ac:dyDescent="0.25">
      <c r="A126" s="21" t="str">
        <f>CONCATENATE("Tanks","")</f>
        <v>Tanks</v>
      </c>
      <c r="B126" s="22" t="s">
        <v>3</v>
      </c>
      <c r="C126" s="23"/>
      <c r="D126" s="24">
        <f>1+0</f>
        <v>1</v>
      </c>
      <c r="E126" s="23"/>
      <c r="F126" s="26">
        <f t="shared" si="10"/>
        <v>3.5</v>
      </c>
      <c r="G126" s="27"/>
      <c r="H126" s="24">
        <f>6+0</f>
        <v>6</v>
      </c>
      <c r="I126" s="29">
        <f t="shared" si="11"/>
        <v>0</v>
      </c>
    </row>
    <row r="127" spans="1:9" ht="14.45" customHeight="1" x14ac:dyDescent="0.25">
      <c r="A127" s="21" t="str">
        <f>CONCATENATE("T-Shirts","")</f>
        <v>T-Shirts</v>
      </c>
      <c r="B127" s="22" t="s">
        <v>3</v>
      </c>
      <c r="C127" s="23"/>
      <c r="D127" s="24">
        <f>1+0</f>
        <v>1</v>
      </c>
      <c r="E127" s="23"/>
      <c r="F127" s="26">
        <f t="shared" si="10"/>
        <v>3.5</v>
      </c>
      <c r="G127" s="27"/>
      <c r="H127" s="24">
        <f>6+0</f>
        <v>6</v>
      </c>
      <c r="I127" s="29">
        <f t="shared" si="11"/>
        <v>0</v>
      </c>
    </row>
    <row r="128" spans="1:9" ht="14.45" customHeight="1" x14ac:dyDescent="0.25">
      <c r="A128" s="21" t="str">
        <f>CONCATENATE("Tuxedo","")</f>
        <v>Tuxedo</v>
      </c>
      <c r="B128" s="22" t="s">
        <v>7</v>
      </c>
      <c r="C128" s="23"/>
      <c r="D128" s="24">
        <f>10+0</f>
        <v>10</v>
      </c>
      <c r="E128" s="23"/>
      <c r="F128" s="26">
        <f t="shared" si="10"/>
        <v>35</v>
      </c>
      <c r="G128" s="27"/>
      <c r="H128" s="24">
        <f>60+0</f>
        <v>60</v>
      </c>
      <c r="I128" s="29">
        <f t="shared" si="11"/>
        <v>0</v>
      </c>
    </row>
    <row r="129" spans="1:9" ht="14.45" customHeight="1" x14ac:dyDescent="0.25">
      <c r="A129" s="21" t="str">
        <f>CONCATENATE("Vests","")</f>
        <v>Vests</v>
      </c>
      <c r="B129" s="22" t="s">
        <v>3</v>
      </c>
      <c r="C129" s="23"/>
      <c r="D129" s="24">
        <f>3+0</f>
        <v>3</v>
      </c>
      <c r="E129" s="23"/>
      <c r="F129" s="26">
        <f t="shared" si="10"/>
        <v>6</v>
      </c>
      <c r="G129" s="27"/>
      <c r="H129" s="24">
        <f>9+0</f>
        <v>9</v>
      </c>
      <c r="I129" s="29">
        <f t="shared" si="11"/>
        <v>0</v>
      </c>
    </row>
    <row r="130" spans="1:9" ht="14.45" customHeight="1" x14ac:dyDescent="0.25">
      <c r="A130" s="21" t="str">
        <f>CONCATENATE("Wallets","")</f>
        <v>Wallets</v>
      </c>
      <c r="B130" s="22" t="s">
        <v>3</v>
      </c>
      <c r="C130" s="23"/>
      <c r="D130" s="24">
        <f>2+0</f>
        <v>2</v>
      </c>
      <c r="E130" s="23"/>
      <c r="F130" s="26">
        <f t="shared" si="10"/>
        <v>4</v>
      </c>
      <c r="G130" s="27"/>
      <c r="H130" s="24">
        <f>6+0</f>
        <v>6</v>
      </c>
      <c r="I130" s="29">
        <f t="shared" si="11"/>
        <v>0</v>
      </c>
    </row>
    <row r="131" spans="1:9" ht="15" customHeight="1" x14ac:dyDescent="0.25"/>
    <row r="132" spans="1:9" ht="15" customHeight="1" x14ac:dyDescent="0.25">
      <c r="A132" s="7" t="str">
        <f>CONCATENATE("Miscellaneous","")</f>
        <v>Miscellaneous</v>
      </c>
      <c r="B132" s="31" t="str">
        <f>$B$6</f>
        <v>Source</v>
      </c>
      <c r="C132" s="32" t="str">
        <f>$C$6</f>
        <v>Qty</v>
      </c>
      <c r="D132" s="33" t="str">
        <f>$D$6</f>
        <v>Low</v>
      </c>
      <c r="E132" s="32" t="str">
        <f>$E$6</f>
        <v>Qty</v>
      </c>
      <c r="F132" s="33" t="str">
        <f>$F$6</f>
        <v>Avg</v>
      </c>
      <c r="G132" s="32" t="str">
        <f>$G$6</f>
        <v>Qty</v>
      </c>
      <c r="H132" s="33" t="str">
        <f>$H$6</f>
        <v>High</v>
      </c>
      <c r="I132" s="34" t="str">
        <f>$I$6</f>
        <v>Total</v>
      </c>
    </row>
    <row r="133" spans="1:9" ht="14.45" customHeight="1" x14ac:dyDescent="0.25">
      <c r="A133" s="12" t="str">
        <f>CONCATENATE("Answering Machine","")</f>
        <v>Answering Machine</v>
      </c>
      <c r="B133" s="13" t="s">
        <v>7</v>
      </c>
      <c r="C133" s="14"/>
      <c r="D133" s="15">
        <f>10+0</f>
        <v>10</v>
      </c>
      <c r="E133" s="14"/>
      <c r="F133" s="17">
        <f t="shared" ref="F133:F147" si="12">(D133+H133)/2</f>
        <v>20</v>
      </c>
      <c r="G133" s="18"/>
      <c r="H133" s="15">
        <f>30+0</f>
        <v>30</v>
      </c>
      <c r="I133" s="20">
        <f t="shared" ref="I133:I154" si="13">C133*D133+E133*F133+G133*H133</f>
        <v>0</v>
      </c>
    </row>
    <row r="134" spans="1:9" ht="14.45" customHeight="1" x14ac:dyDescent="0.25">
      <c r="A134" s="21" t="str">
        <f>CONCATENATE("Board games","")</f>
        <v>Board games</v>
      </c>
      <c r="B134" s="22" t="s">
        <v>7</v>
      </c>
      <c r="C134" s="23"/>
      <c r="D134" s="24">
        <f>1+0</f>
        <v>1</v>
      </c>
      <c r="E134" s="23"/>
      <c r="F134" s="26">
        <f t="shared" si="12"/>
        <v>2</v>
      </c>
      <c r="G134" s="27"/>
      <c r="H134" s="24">
        <f>3+0</f>
        <v>3</v>
      </c>
      <c r="I134" s="29">
        <f t="shared" si="13"/>
        <v>0</v>
      </c>
    </row>
    <row r="135" spans="1:9" ht="14.45" customHeight="1" x14ac:dyDescent="0.25">
      <c r="A135" s="21" t="str">
        <f>CONCATENATE("Books-hardback","")</f>
        <v>Books-hardback</v>
      </c>
      <c r="B135" s="22" t="s">
        <v>7</v>
      </c>
      <c r="C135" s="23"/>
      <c r="D135" s="24">
        <f>1+0</f>
        <v>1</v>
      </c>
      <c r="E135" s="23"/>
      <c r="F135" s="26">
        <f t="shared" si="12"/>
        <v>2</v>
      </c>
      <c r="G135" s="27"/>
      <c r="H135" s="24">
        <f>3+0</f>
        <v>3</v>
      </c>
      <c r="I135" s="29">
        <f t="shared" si="13"/>
        <v>0</v>
      </c>
    </row>
    <row r="136" spans="1:9" ht="14.45" customHeight="1" x14ac:dyDescent="0.25">
      <c r="A136" s="21" t="str">
        <f>CONCATENATE("Books-paperback","")</f>
        <v>Books-paperback</v>
      </c>
      <c r="B136" s="22" t="s">
        <v>7</v>
      </c>
      <c r="C136" s="23"/>
      <c r="D136" s="24">
        <f>1+0</f>
        <v>1</v>
      </c>
      <c r="E136" s="23"/>
      <c r="F136" s="26">
        <f t="shared" si="12"/>
        <v>1.5</v>
      </c>
      <c r="G136" s="27"/>
      <c r="H136" s="24">
        <f>2+0</f>
        <v>2</v>
      </c>
      <c r="I136" s="29">
        <f t="shared" si="13"/>
        <v>0</v>
      </c>
    </row>
    <row r="137" spans="1:9" ht="14.45" customHeight="1" x14ac:dyDescent="0.25">
      <c r="A137" s="21" t="str">
        <f>CONCATENATE("Carpet cleaner-working","")</f>
        <v>Carpet cleaner-working</v>
      </c>
      <c r="B137" s="22" t="s">
        <v>5</v>
      </c>
      <c r="C137" s="23"/>
      <c r="D137" s="24">
        <f>15+0</f>
        <v>15</v>
      </c>
      <c r="E137" s="23"/>
      <c r="F137" s="26">
        <f t="shared" si="12"/>
        <v>47.5</v>
      </c>
      <c r="G137" s="27"/>
      <c r="H137" s="24">
        <f>80+0</f>
        <v>80</v>
      </c>
      <c r="I137" s="29">
        <f t="shared" si="13"/>
        <v>0</v>
      </c>
    </row>
    <row r="138" spans="1:9" ht="14.45" customHeight="1" x14ac:dyDescent="0.25">
      <c r="A138" s="21" t="str">
        <f>CONCATENATE("CD","")</f>
        <v>CD</v>
      </c>
      <c r="B138" s="22" t="s">
        <v>7</v>
      </c>
      <c r="C138" s="23"/>
      <c r="D138" s="24">
        <f>2+0</f>
        <v>2</v>
      </c>
      <c r="E138" s="23"/>
      <c r="F138" s="26">
        <f t="shared" si="12"/>
        <v>3.5</v>
      </c>
      <c r="G138" s="27"/>
      <c r="H138" s="24">
        <f>5+0</f>
        <v>5</v>
      </c>
      <c r="I138" s="29">
        <f t="shared" si="13"/>
        <v>0</v>
      </c>
    </row>
    <row r="139" spans="1:9" ht="14.45" customHeight="1" x14ac:dyDescent="0.25">
      <c r="A139" s="21" t="str">
        <f>CONCATENATE("Christmas Tree","")</f>
        <v>Christmas Tree</v>
      </c>
      <c r="B139" s="22" t="s">
        <v>1</v>
      </c>
      <c r="C139" s="23"/>
      <c r="D139" s="24">
        <f>3+0</f>
        <v>3</v>
      </c>
      <c r="E139" s="23"/>
      <c r="F139" s="26">
        <f t="shared" si="12"/>
        <v>10.5</v>
      </c>
      <c r="G139" s="27"/>
      <c r="H139" s="24">
        <f>18+0</f>
        <v>18</v>
      </c>
      <c r="I139" s="29">
        <f t="shared" si="13"/>
        <v>0</v>
      </c>
    </row>
    <row r="140" spans="1:9" ht="14.45" customHeight="1" x14ac:dyDescent="0.25">
      <c r="A140" s="21" t="str">
        <f>CONCATENATE("Computer monitor","")</f>
        <v>Computer monitor</v>
      </c>
      <c r="B140" s="22" t="s">
        <v>7</v>
      </c>
      <c r="C140" s="23"/>
      <c r="D140" s="24">
        <f>5+0</f>
        <v>5</v>
      </c>
      <c r="E140" s="23"/>
      <c r="F140" s="26">
        <f t="shared" si="12"/>
        <v>27.5</v>
      </c>
      <c r="G140" s="27"/>
      <c r="H140" s="24">
        <f>50+0</f>
        <v>50</v>
      </c>
      <c r="I140" s="29">
        <f t="shared" si="13"/>
        <v>0</v>
      </c>
    </row>
    <row r="141" spans="1:9" ht="14.45" customHeight="1" x14ac:dyDescent="0.25">
      <c r="A141" s="21" t="str">
        <f>CONCATENATE("Computer System","")</f>
        <v>Computer System</v>
      </c>
      <c r="B141" s="22" t="s">
        <v>7</v>
      </c>
      <c r="C141" s="23"/>
      <c r="D141" s="24">
        <f>100+0</f>
        <v>100</v>
      </c>
      <c r="E141" s="23"/>
      <c r="F141" s="26">
        <f t="shared" si="12"/>
        <v>250</v>
      </c>
      <c r="G141" s="27"/>
      <c r="H141" s="24">
        <f>400+0</f>
        <v>400</v>
      </c>
      <c r="I141" s="29">
        <f t="shared" si="13"/>
        <v>0</v>
      </c>
    </row>
    <row r="142" spans="1:9" ht="14.45" customHeight="1" x14ac:dyDescent="0.25">
      <c r="A142" s="21" t="str">
        <f>CONCATENATE("Copier","")</f>
        <v>Copier</v>
      </c>
      <c r="B142" s="22" t="s">
        <v>7</v>
      </c>
      <c r="C142" s="23"/>
      <c r="D142" s="24">
        <f>40+0</f>
        <v>40</v>
      </c>
      <c r="E142" s="23"/>
      <c r="F142" s="26">
        <f t="shared" si="12"/>
        <v>120</v>
      </c>
      <c r="G142" s="27"/>
      <c r="H142" s="24">
        <f>200+0</f>
        <v>200</v>
      </c>
      <c r="I142" s="29">
        <f t="shared" si="13"/>
        <v>0</v>
      </c>
    </row>
    <row r="143" spans="1:9" ht="14.45" customHeight="1" x14ac:dyDescent="0.25">
      <c r="A143" s="21" t="str">
        <f>CONCATENATE("DVD","")</f>
        <v>DVD</v>
      </c>
      <c r="B143" s="22" t="s">
        <v>6</v>
      </c>
      <c r="C143" s="23"/>
      <c r="D143" s="24">
        <f>1+0</f>
        <v>1</v>
      </c>
      <c r="E143" s="23"/>
      <c r="F143" s="26">
        <f t="shared" si="12"/>
        <v>3</v>
      </c>
      <c r="G143" s="27"/>
      <c r="H143" s="24">
        <f>5+0</f>
        <v>5</v>
      </c>
      <c r="I143" s="29">
        <f t="shared" si="13"/>
        <v>0</v>
      </c>
    </row>
    <row r="144" spans="1:9" ht="14.45" customHeight="1" x14ac:dyDescent="0.25">
      <c r="A144" s="21" t="str">
        <f>CONCATENATE("Edger","")</f>
        <v>Edger</v>
      </c>
      <c r="B144" s="22" t="s">
        <v>4</v>
      </c>
      <c r="C144" s="23"/>
      <c r="D144" s="24">
        <f>6+0</f>
        <v>6</v>
      </c>
      <c r="E144" s="23"/>
      <c r="F144" s="26">
        <f t="shared" si="12"/>
        <v>33</v>
      </c>
      <c r="G144" s="27"/>
      <c r="H144" s="24">
        <f>60+0</f>
        <v>60</v>
      </c>
      <c r="I144" s="29">
        <f t="shared" si="13"/>
        <v>0</v>
      </c>
    </row>
    <row r="145" spans="1:9" ht="14.45" customHeight="1" x14ac:dyDescent="0.25">
      <c r="A145" s="21" t="str">
        <f>CONCATENATE("Printers-computer","")</f>
        <v>Printers-computer</v>
      </c>
      <c r="B145" s="22" t="s">
        <v>7</v>
      </c>
      <c r="C145" s="23"/>
      <c r="D145" s="24">
        <f>5+0</f>
        <v>5</v>
      </c>
      <c r="E145" s="23"/>
      <c r="F145" s="26">
        <f t="shared" si="12"/>
        <v>77.5</v>
      </c>
      <c r="G145" s="27"/>
      <c r="H145" s="24">
        <f>150+0</f>
        <v>150</v>
      </c>
      <c r="I145" s="29">
        <f t="shared" si="13"/>
        <v>0</v>
      </c>
    </row>
    <row r="146" spans="1:9" ht="14.45" customHeight="1" x14ac:dyDescent="0.25">
      <c r="A146" s="21" t="str">
        <f>CONCATENATE("Mower","")</f>
        <v>Mower</v>
      </c>
      <c r="B146" s="22" t="s">
        <v>7</v>
      </c>
      <c r="C146" s="23"/>
      <c r="D146" s="24">
        <f>25+0</f>
        <v>25</v>
      </c>
      <c r="E146" s="23"/>
      <c r="F146" s="26">
        <f t="shared" si="12"/>
        <v>62.5</v>
      </c>
      <c r="G146" s="27"/>
      <c r="H146" s="24">
        <f>100+0</f>
        <v>100</v>
      </c>
      <c r="I146" s="29">
        <f t="shared" si="13"/>
        <v>0</v>
      </c>
    </row>
    <row r="147" spans="1:9" ht="14.45" customHeight="1" x14ac:dyDescent="0.25">
      <c r="A147" s="21" t="str">
        <f>CONCATENATE("Mower-riding","")</f>
        <v>Mower-riding</v>
      </c>
      <c r="B147" s="22" t="s">
        <v>7</v>
      </c>
      <c r="C147" s="23"/>
      <c r="D147" s="24">
        <f>100+0</f>
        <v>100</v>
      </c>
      <c r="E147" s="23"/>
      <c r="F147" s="26">
        <f t="shared" si="12"/>
        <v>200</v>
      </c>
      <c r="G147" s="27"/>
      <c r="H147" s="24">
        <f>300+0</f>
        <v>300</v>
      </c>
      <c r="I147" s="29">
        <f t="shared" si="13"/>
        <v>0</v>
      </c>
    </row>
    <row r="148" spans="1:9" ht="14.45" customHeight="1" x14ac:dyDescent="0.25">
      <c r="A148" s="21" t="str">
        <f>CONCATENATE("Rototiller","")</f>
        <v>Rototiller</v>
      </c>
      <c r="B148" s="22" t="s">
        <v>1</v>
      </c>
      <c r="C148" s="23"/>
      <c r="D148" s="24">
        <f>15+0</f>
        <v>15</v>
      </c>
      <c r="E148" s="23"/>
      <c r="F148" s="26">
        <v>145</v>
      </c>
      <c r="G148" s="27"/>
      <c r="H148" s="24">
        <f>95+0</f>
        <v>95</v>
      </c>
      <c r="I148" s="29">
        <f t="shared" si="13"/>
        <v>0</v>
      </c>
    </row>
    <row r="149" spans="1:9" ht="14.45" customHeight="1" x14ac:dyDescent="0.25">
      <c r="A149" s="21" t="str">
        <f>CONCATENATE("Sewing Machine","")</f>
        <v>Sewing Machine</v>
      </c>
      <c r="B149" s="22" t="s">
        <v>7</v>
      </c>
      <c r="C149" s="23"/>
      <c r="D149" s="24">
        <f>15+0</f>
        <v>15</v>
      </c>
      <c r="E149" s="23"/>
      <c r="F149" s="26">
        <f t="shared" ref="F149:F154" si="14">(D149+H149)/2</f>
        <v>50</v>
      </c>
      <c r="G149" s="27"/>
      <c r="H149" s="24">
        <f>85+0</f>
        <v>85</v>
      </c>
      <c r="I149" s="29">
        <f t="shared" si="13"/>
        <v>0</v>
      </c>
    </row>
    <row r="150" spans="1:9" ht="14.45" customHeight="1" x14ac:dyDescent="0.25">
      <c r="A150" s="21" t="str">
        <f>CONCATENATE("Snowblower","")</f>
        <v>Snowblower</v>
      </c>
      <c r="B150" s="22" t="s">
        <v>1</v>
      </c>
      <c r="C150" s="23"/>
      <c r="D150" s="24">
        <f>15+0</f>
        <v>15</v>
      </c>
      <c r="E150" s="23"/>
      <c r="F150" s="26">
        <f t="shared" si="14"/>
        <v>247.5</v>
      </c>
      <c r="G150" s="27"/>
      <c r="H150" s="24">
        <f>480+0</f>
        <v>480</v>
      </c>
      <c r="I150" s="29">
        <f t="shared" si="13"/>
        <v>0</v>
      </c>
    </row>
    <row r="151" spans="1:9" ht="14.45" customHeight="1" x14ac:dyDescent="0.25">
      <c r="A151" s="21" t="str">
        <f>CONCATENATE("Stereo","")</f>
        <v>Stereo</v>
      </c>
      <c r="B151" s="22" t="s">
        <v>7</v>
      </c>
      <c r="C151" s="23"/>
      <c r="D151" s="24">
        <f>15+0</f>
        <v>15</v>
      </c>
      <c r="E151" s="23"/>
      <c r="F151" s="26">
        <f t="shared" si="14"/>
        <v>45</v>
      </c>
      <c r="G151" s="27"/>
      <c r="H151" s="24">
        <f>75+0</f>
        <v>75</v>
      </c>
      <c r="I151" s="29">
        <f t="shared" si="13"/>
        <v>0</v>
      </c>
    </row>
    <row r="152" spans="1:9" ht="14.45" customHeight="1" x14ac:dyDescent="0.25">
      <c r="A152" s="21" t="str">
        <f>CONCATENATE("Typewriter","")</f>
        <v>Typewriter</v>
      </c>
      <c r="B152" s="22" t="s">
        <v>7</v>
      </c>
      <c r="C152" s="23"/>
      <c r="D152" s="24">
        <f>5+0</f>
        <v>5</v>
      </c>
      <c r="E152" s="23"/>
      <c r="F152" s="26">
        <f t="shared" si="14"/>
        <v>15</v>
      </c>
      <c r="G152" s="27"/>
      <c r="H152" s="24">
        <f>25+0</f>
        <v>25</v>
      </c>
      <c r="I152" s="29">
        <f t="shared" si="13"/>
        <v>0</v>
      </c>
    </row>
    <row r="153" spans="1:9" ht="14.45" customHeight="1" x14ac:dyDescent="0.25">
      <c r="A153" s="21" t="str">
        <f>CONCATENATE("Umbrellas","")</f>
        <v>Umbrellas</v>
      </c>
      <c r="B153" s="22" t="s">
        <v>7</v>
      </c>
      <c r="C153" s="23"/>
      <c r="D153" s="24">
        <f>2+0</f>
        <v>2</v>
      </c>
      <c r="E153" s="23"/>
      <c r="F153" s="26">
        <f t="shared" si="14"/>
        <v>4</v>
      </c>
      <c r="G153" s="27"/>
      <c r="H153" s="24">
        <f>6+0</f>
        <v>6</v>
      </c>
      <c r="I153" s="29">
        <f t="shared" si="13"/>
        <v>0</v>
      </c>
    </row>
    <row r="154" spans="1:9" ht="14.45" customHeight="1" x14ac:dyDescent="0.25">
      <c r="A154" s="21" t="str">
        <f>CONCATENATE("Vacuum Cleaner","")</f>
        <v>Vacuum Cleaner</v>
      </c>
      <c r="B154" s="22" t="s">
        <v>7</v>
      </c>
      <c r="C154" s="23"/>
      <c r="D154" s="24">
        <f>15+0</f>
        <v>15</v>
      </c>
      <c r="E154" s="23"/>
      <c r="F154" s="39">
        <f t="shared" si="14"/>
        <v>40</v>
      </c>
      <c r="G154" s="27"/>
      <c r="H154" s="24">
        <f>65+0</f>
        <v>65</v>
      </c>
      <c r="I154" s="29">
        <f t="shared" si="13"/>
        <v>0</v>
      </c>
    </row>
    <row r="155" spans="1:9" ht="15" customHeight="1" x14ac:dyDescent="0.25"/>
    <row r="156" spans="1:9" ht="15" customHeight="1" x14ac:dyDescent="0.25">
      <c r="A156" s="7" t="str">
        <f>CONCATENATE("Sports","")</f>
        <v>Sports</v>
      </c>
      <c r="B156" s="31" t="str">
        <f>$B$6</f>
        <v>Source</v>
      </c>
      <c r="C156" s="32" t="str">
        <f>$C$6</f>
        <v>Qty</v>
      </c>
      <c r="D156" s="33" t="str">
        <f>$D$6</f>
        <v>Low</v>
      </c>
      <c r="E156" s="32" t="str">
        <f>$E$6</f>
        <v>Qty</v>
      </c>
      <c r="F156" s="33" t="str">
        <f>$F$6</f>
        <v>Avg</v>
      </c>
      <c r="G156" s="32" t="str">
        <f>$G$6</f>
        <v>Qty</v>
      </c>
      <c r="H156" s="33" t="str">
        <f>$H$6</f>
        <v>High</v>
      </c>
      <c r="I156" s="34" t="str">
        <f>$I$6</f>
        <v>Total</v>
      </c>
    </row>
    <row r="157" spans="1:9" ht="14.45" customHeight="1" x14ac:dyDescent="0.25">
      <c r="A157" s="12" t="str">
        <f>CONCATENATE("Bicycles","")</f>
        <v>Bicycles</v>
      </c>
      <c r="B157" s="13" t="s">
        <v>7</v>
      </c>
      <c r="C157" s="14"/>
      <c r="D157" s="15">
        <f>5+0</f>
        <v>5</v>
      </c>
      <c r="E157" s="14"/>
      <c r="F157" s="17">
        <f t="shared" ref="F157:F165" si="15">(D157+H157)/2</f>
        <v>42.5</v>
      </c>
      <c r="G157" s="18"/>
      <c r="H157" s="15">
        <f>80+0</f>
        <v>80</v>
      </c>
      <c r="I157" s="20">
        <f t="shared" ref="I157:I165" si="16">C157*D157+E157*F157+G157*H157</f>
        <v>0</v>
      </c>
    </row>
    <row r="158" spans="1:9" ht="14.45" customHeight="1" x14ac:dyDescent="0.25">
      <c r="A158" s="21" t="str">
        <f>CONCATENATE("Fishing Rods","")</f>
        <v>Fishing Rods</v>
      </c>
      <c r="B158" s="22" t="s">
        <v>4</v>
      </c>
      <c r="C158" s="23"/>
      <c r="D158" s="24">
        <f>6+0</f>
        <v>6</v>
      </c>
      <c r="E158" s="23"/>
      <c r="F158" s="26">
        <f t="shared" si="15"/>
        <v>18</v>
      </c>
      <c r="G158" s="27"/>
      <c r="H158" s="24">
        <f>30+0</f>
        <v>30</v>
      </c>
      <c r="I158" s="29">
        <f t="shared" si="16"/>
        <v>0</v>
      </c>
    </row>
    <row r="159" spans="1:9" ht="14.45" customHeight="1" x14ac:dyDescent="0.25">
      <c r="A159" s="21" t="str">
        <f>CONCATENATE("Golf Clubs","")</f>
        <v>Golf Clubs</v>
      </c>
      <c r="B159" s="22" t="s">
        <v>7</v>
      </c>
      <c r="C159" s="23"/>
      <c r="D159" s="24">
        <f>2+0</f>
        <v>2</v>
      </c>
      <c r="E159" s="23"/>
      <c r="F159" s="26">
        <f t="shared" si="15"/>
        <v>13.5</v>
      </c>
      <c r="G159" s="27"/>
      <c r="H159" s="24">
        <f>25+0</f>
        <v>25</v>
      </c>
      <c r="I159" s="29">
        <f t="shared" si="16"/>
        <v>0</v>
      </c>
    </row>
    <row r="160" spans="1:9" ht="14.45" customHeight="1" x14ac:dyDescent="0.25">
      <c r="A160" s="21" t="str">
        <f>CONCATENATE("Ice Skates","")</f>
        <v>Ice Skates</v>
      </c>
      <c r="B160" s="22" t="s">
        <v>7</v>
      </c>
      <c r="C160" s="23"/>
      <c r="D160" s="24">
        <f>3+0</f>
        <v>3</v>
      </c>
      <c r="E160" s="23"/>
      <c r="F160" s="26">
        <f t="shared" si="15"/>
        <v>9</v>
      </c>
      <c r="G160" s="27"/>
      <c r="H160" s="24">
        <f>15+0</f>
        <v>15</v>
      </c>
      <c r="I160" s="29">
        <f t="shared" si="16"/>
        <v>0</v>
      </c>
    </row>
    <row r="161" spans="1:9" ht="14.45" customHeight="1" x14ac:dyDescent="0.25">
      <c r="A161" s="21" t="str">
        <f>CONCATENATE("Roller Blades","")</f>
        <v>Roller Blades</v>
      </c>
      <c r="B161" s="22" t="s">
        <v>7</v>
      </c>
      <c r="C161" s="23"/>
      <c r="D161" s="24">
        <f>3+0</f>
        <v>3</v>
      </c>
      <c r="E161" s="23"/>
      <c r="F161" s="26">
        <f t="shared" si="15"/>
        <v>9</v>
      </c>
      <c r="G161" s="27"/>
      <c r="H161" s="24">
        <f>15+0</f>
        <v>15</v>
      </c>
      <c r="I161" s="29">
        <f t="shared" si="16"/>
        <v>0</v>
      </c>
    </row>
    <row r="162" spans="1:9" ht="14.45" customHeight="1" x14ac:dyDescent="0.25">
      <c r="A162" s="21" t="str">
        <f>CONCATENATE("Skis","")</f>
        <v>Skis</v>
      </c>
      <c r="B162" s="22" t="s">
        <v>4</v>
      </c>
      <c r="C162" s="23"/>
      <c r="D162" s="24">
        <f>18+0</f>
        <v>18</v>
      </c>
      <c r="E162" s="23"/>
      <c r="F162" s="26">
        <f t="shared" si="15"/>
        <v>69</v>
      </c>
      <c r="G162" s="27"/>
      <c r="H162" s="24">
        <f>120+0</f>
        <v>120</v>
      </c>
      <c r="I162" s="29">
        <f t="shared" si="16"/>
        <v>0</v>
      </c>
    </row>
    <row r="163" spans="1:9" ht="14.45" customHeight="1" x14ac:dyDescent="0.25">
      <c r="A163" s="21" t="str">
        <f>CONCATENATE("Sleds","")</f>
        <v>Sleds</v>
      </c>
      <c r="B163" s="22" t="s">
        <v>4</v>
      </c>
      <c r="C163" s="23"/>
      <c r="D163" s="24">
        <f>6+0</f>
        <v>6</v>
      </c>
      <c r="E163" s="23"/>
      <c r="F163" s="26">
        <f t="shared" si="15"/>
        <v>15</v>
      </c>
      <c r="G163" s="27"/>
      <c r="H163" s="24">
        <f>24+0</f>
        <v>24</v>
      </c>
      <c r="I163" s="29">
        <f t="shared" si="16"/>
        <v>0</v>
      </c>
    </row>
    <row r="164" spans="1:9" ht="14.45" customHeight="1" x14ac:dyDescent="0.25">
      <c r="A164" s="21" t="str">
        <f>CONCATENATE("Tennis Racket","")</f>
        <v>Tennis Racket</v>
      </c>
      <c r="B164" s="22" t="s">
        <v>7</v>
      </c>
      <c r="C164" s="23"/>
      <c r="D164" s="24">
        <f>2+0</f>
        <v>2</v>
      </c>
      <c r="E164" s="23"/>
      <c r="F164" s="26">
        <f t="shared" si="15"/>
        <v>3.5</v>
      </c>
      <c r="G164" s="27"/>
      <c r="H164" s="24">
        <f>5+0</f>
        <v>5</v>
      </c>
      <c r="I164" s="29">
        <f t="shared" si="16"/>
        <v>0</v>
      </c>
    </row>
    <row r="165" spans="1:9" ht="14.45" customHeight="1" x14ac:dyDescent="0.25">
      <c r="A165" s="21" t="str">
        <f>CONCATENATE("Toboggans","")</f>
        <v>Toboggans</v>
      </c>
      <c r="B165" s="22" t="s">
        <v>4</v>
      </c>
      <c r="C165" s="23"/>
      <c r="D165" s="24">
        <f>18+0</f>
        <v>18</v>
      </c>
      <c r="E165" s="23"/>
      <c r="F165" s="26">
        <f t="shared" si="15"/>
        <v>63</v>
      </c>
      <c r="G165" s="27"/>
      <c r="H165" s="24">
        <f>108+0</f>
        <v>108</v>
      </c>
      <c r="I165" s="29">
        <f t="shared" si="16"/>
        <v>0</v>
      </c>
    </row>
    <row r="166" spans="1:9" ht="15" customHeight="1" x14ac:dyDescent="0.25"/>
    <row r="167" spans="1:9" ht="15" customHeight="1" x14ac:dyDescent="0.25">
      <c r="A167" s="7" t="str">
        <f>CONCATENATE("Womens","")</f>
        <v>Womens</v>
      </c>
      <c r="B167" s="31" t="str">
        <f>$B$6</f>
        <v>Source</v>
      </c>
      <c r="C167" s="32" t="str">
        <f>$C$6</f>
        <v>Qty</v>
      </c>
      <c r="D167" s="33" t="str">
        <f>$D$6</f>
        <v>Low</v>
      </c>
      <c r="E167" s="32" t="str">
        <f>$E$6</f>
        <v>Qty</v>
      </c>
      <c r="F167" s="33" t="str">
        <f>$F$6</f>
        <v>Avg</v>
      </c>
      <c r="G167" s="32" t="str">
        <f>$G$6</f>
        <v>Qty</v>
      </c>
      <c r="H167" s="33" t="str">
        <f>$H$6</f>
        <v>High</v>
      </c>
      <c r="I167" s="34" t="str">
        <f>$I$6</f>
        <v>Total</v>
      </c>
    </row>
    <row r="168" spans="1:9" ht="14.45" customHeight="1" x14ac:dyDescent="0.25">
      <c r="A168" s="12" t="str">
        <f>CONCATENATE("Belts-leather","")</f>
        <v>Belts-leather</v>
      </c>
      <c r="B168" s="13" t="s">
        <v>3</v>
      </c>
      <c r="C168" s="14"/>
      <c r="D168" s="15">
        <f>5+0</f>
        <v>5</v>
      </c>
      <c r="E168" s="14"/>
      <c r="F168" s="17">
        <f>(D168+H168)/2</f>
        <v>10</v>
      </c>
      <c r="G168" s="18"/>
      <c r="H168" s="15">
        <f>15+0</f>
        <v>15</v>
      </c>
      <c r="I168" s="20">
        <f t="shared" ref="I168:I197" si="17">C168*D168+E168*F168+G168*H168</f>
        <v>0</v>
      </c>
    </row>
    <row r="169" spans="1:9" ht="14.45" customHeight="1" x14ac:dyDescent="0.25">
      <c r="A169" s="21" t="str">
        <f>CONCATENATE("Belts-other","")</f>
        <v>Belts-other</v>
      </c>
      <c r="B169" s="22" t="s">
        <v>3</v>
      </c>
      <c r="C169" s="23"/>
      <c r="D169" s="24">
        <f>2+0</f>
        <v>2</v>
      </c>
      <c r="E169" s="23"/>
      <c r="F169" s="26">
        <v>4</v>
      </c>
      <c r="G169" s="27"/>
      <c r="H169" s="24">
        <f>6+0</f>
        <v>6</v>
      </c>
      <c r="I169" s="29">
        <f t="shared" si="17"/>
        <v>0</v>
      </c>
    </row>
    <row r="170" spans="1:9" ht="14.45" customHeight="1" x14ac:dyDescent="0.25">
      <c r="A170" s="21" t="str">
        <f>CONCATENATE("Blazer","")</f>
        <v>Blazer</v>
      </c>
      <c r="B170" s="22" t="s">
        <v>3</v>
      </c>
      <c r="C170" s="23"/>
      <c r="D170" s="24">
        <f>6+0</f>
        <v>6</v>
      </c>
      <c r="E170" s="23"/>
      <c r="F170" s="26">
        <f t="shared" ref="F170:F197" si="18">(D170+H170)/2</f>
        <v>9</v>
      </c>
      <c r="G170" s="27"/>
      <c r="H170" s="24">
        <f>12+0</f>
        <v>12</v>
      </c>
      <c r="I170" s="29">
        <f t="shared" si="17"/>
        <v>0</v>
      </c>
    </row>
    <row r="171" spans="1:9" ht="14.45" customHeight="1" x14ac:dyDescent="0.25">
      <c r="A171" s="21" t="str">
        <f>CONCATENATE("Blouses","")</f>
        <v>Blouses</v>
      </c>
      <c r="B171" s="22" t="s">
        <v>3</v>
      </c>
      <c r="C171" s="23"/>
      <c r="D171" s="24">
        <f>2+0</f>
        <v>2</v>
      </c>
      <c r="E171" s="23"/>
      <c r="F171" s="26">
        <f t="shared" si="18"/>
        <v>7</v>
      </c>
      <c r="G171" s="27"/>
      <c r="H171" s="24">
        <f>12+0</f>
        <v>12</v>
      </c>
      <c r="I171" s="29">
        <f t="shared" si="17"/>
        <v>0</v>
      </c>
    </row>
    <row r="172" spans="1:9" ht="14.45" customHeight="1" x14ac:dyDescent="0.25">
      <c r="A172" s="21" t="str">
        <f>CONCATENATE("Boots-ankle","")</f>
        <v>Boots-ankle</v>
      </c>
      <c r="B172" s="22" t="s">
        <v>3</v>
      </c>
      <c r="C172" s="23"/>
      <c r="D172" s="24">
        <f>6+0</f>
        <v>6</v>
      </c>
      <c r="E172" s="23"/>
      <c r="F172" s="26">
        <f t="shared" si="18"/>
        <v>12</v>
      </c>
      <c r="G172" s="27"/>
      <c r="H172" s="24">
        <f>18+0</f>
        <v>18</v>
      </c>
      <c r="I172" s="29">
        <f t="shared" si="17"/>
        <v>0</v>
      </c>
    </row>
    <row r="173" spans="1:9" ht="14.45" customHeight="1" x14ac:dyDescent="0.25">
      <c r="A173" s="21" t="str">
        <f>CONCATENATE("Coats","")</f>
        <v>Coats</v>
      </c>
      <c r="B173" s="22" t="s">
        <v>3</v>
      </c>
      <c r="C173" s="23"/>
      <c r="D173" s="24">
        <f>7+0</f>
        <v>7</v>
      </c>
      <c r="E173" s="23"/>
      <c r="F173" s="26">
        <f t="shared" si="18"/>
        <v>23.5</v>
      </c>
      <c r="G173" s="27"/>
      <c r="H173" s="24">
        <f>40+0</f>
        <v>40</v>
      </c>
      <c r="I173" s="29">
        <f t="shared" si="17"/>
        <v>0</v>
      </c>
    </row>
    <row r="174" spans="1:9" ht="14.45" customHeight="1" x14ac:dyDescent="0.25">
      <c r="A174" s="21" t="str">
        <f>CONCATENATE("Dresses","")</f>
        <v>Dresses</v>
      </c>
      <c r="B174" s="22" t="s">
        <v>3</v>
      </c>
      <c r="C174" s="23"/>
      <c r="D174" s="24">
        <f>3+0</f>
        <v>3</v>
      </c>
      <c r="E174" s="23"/>
      <c r="F174" s="26">
        <f t="shared" si="18"/>
        <v>10</v>
      </c>
      <c r="G174" s="27"/>
      <c r="H174" s="24">
        <f>17+0</f>
        <v>17</v>
      </c>
      <c r="I174" s="29">
        <f t="shared" si="17"/>
        <v>0</v>
      </c>
    </row>
    <row r="175" spans="1:9" ht="14.45" customHeight="1" x14ac:dyDescent="0.25">
      <c r="A175" s="21" t="str">
        <f>CONCATENATE("Dresses-evening","")</f>
        <v>Dresses-evening</v>
      </c>
      <c r="B175" s="22" t="s">
        <v>3</v>
      </c>
      <c r="C175" s="23"/>
      <c r="D175" s="24">
        <f>10+0</f>
        <v>10</v>
      </c>
      <c r="E175" s="23"/>
      <c r="F175" s="26">
        <f t="shared" si="18"/>
        <v>20</v>
      </c>
      <c r="G175" s="27"/>
      <c r="H175" s="24">
        <f>30+0</f>
        <v>30</v>
      </c>
      <c r="I175" s="29">
        <f t="shared" si="17"/>
        <v>0</v>
      </c>
    </row>
    <row r="176" spans="1:9" ht="14.45" customHeight="1" x14ac:dyDescent="0.25">
      <c r="A176" s="21" t="str">
        <f>CONCATENATE("Handbags","")</f>
        <v>Handbags</v>
      </c>
      <c r="B176" s="22" t="s">
        <v>3</v>
      </c>
      <c r="C176" s="23"/>
      <c r="D176" s="24">
        <f>3+0</f>
        <v>3</v>
      </c>
      <c r="E176" s="23"/>
      <c r="F176" s="26">
        <f t="shared" si="18"/>
        <v>6</v>
      </c>
      <c r="G176" s="27"/>
      <c r="H176" s="24">
        <f>9+0</f>
        <v>9</v>
      </c>
      <c r="I176" s="29">
        <f t="shared" si="17"/>
        <v>0</v>
      </c>
    </row>
    <row r="177" spans="1:9" ht="14.45" customHeight="1" x14ac:dyDescent="0.25">
      <c r="A177" s="21" t="str">
        <f>CONCATENATE("Jeans","")</f>
        <v>Jeans</v>
      </c>
      <c r="B177" s="22" t="s">
        <v>3</v>
      </c>
      <c r="C177" s="23"/>
      <c r="D177" s="24">
        <f>4+0</f>
        <v>4</v>
      </c>
      <c r="E177" s="23"/>
      <c r="F177" s="26">
        <f t="shared" si="18"/>
        <v>12.5</v>
      </c>
      <c r="G177" s="27"/>
      <c r="H177" s="24">
        <f>21+0</f>
        <v>21</v>
      </c>
      <c r="I177" s="29">
        <f t="shared" si="17"/>
        <v>0</v>
      </c>
    </row>
    <row r="178" spans="1:9" ht="14.45" customHeight="1" x14ac:dyDescent="0.25">
      <c r="A178" s="21" t="str">
        <f>CONCATENATE("Luggage","")</f>
        <v>Luggage</v>
      </c>
      <c r="B178" s="22" t="s">
        <v>3</v>
      </c>
      <c r="C178" s="23"/>
      <c r="D178" s="24">
        <f>5+0</f>
        <v>5</v>
      </c>
      <c r="E178" s="23"/>
      <c r="F178" s="26">
        <f t="shared" si="18"/>
        <v>10</v>
      </c>
      <c r="G178" s="27"/>
      <c r="H178" s="24">
        <f>15+0</f>
        <v>15</v>
      </c>
      <c r="I178" s="29">
        <f t="shared" si="17"/>
        <v>0</v>
      </c>
    </row>
    <row r="179" spans="1:9" ht="14.45" customHeight="1" x14ac:dyDescent="0.25">
      <c r="A179" s="21" t="str">
        <f>CONCATENATE("Nightgowns","")</f>
        <v>Nightgowns</v>
      </c>
      <c r="B179" s="22" t="s">
        <v>3</v>
      </c>
      <c r="C179" s="23"/>
      <c r="D179" s="24">
        <f>2+0</f>
        <v>2</v>
      </c>
      <c r="E179" s="23"/>
      <c r="F179" s="26">
        <f t="shared" si="18"/>
        <v>6</v>
      </c>
      <c r="G179" s="27"/>
      <c r="H179" s="24">
        <f>10+0</f>
        <v>10</v>
      </c>
      <c r="I179" s="29">
        <f t="shared" si="17"/>
        <v>0</v>
      </c>
    </row>
    <row r="180" spans="1:9" ht="14.45" customHeight="1" x14ac:dyDescent="0.25">
      <c r="A180" s="21" t="str">
        <f>CONCATENATE("Pajamas","")</f>
        <v>Pajamas</v>
      </c>
      <c r="B180" s="22" t="s">
        <v>3</v>
      </c>
      <c r="C180" s="23"/>
      <c r="D180" s="24">
        <f>2+0</f>
        <v>2</v>
      </c>
      <c r="E180" s="23"/>
      <c r="F180" s="26">
        <f t="shared" si="18"/>
        <v>6</v>
      </c>
      <c r="G180" s="27"/>
      <c r="H180" s="24">
        <f>10+0</f>
        <v>10</v>
      </c>
      <c r="I180" s="29">
        <f t="shared" si="17"/>
        <v>0</v>
      </c>
    </row>
    <row r="181" spans="1:9" ht="14.45" customHeight="1" x14ac:dyDescent="0.25">
      <c r="A181" s="21" t="str">
        <f>CONCATENATE("Pants-casual","")</f>
        <v>Pants-casual</v>
      </c>
      <c r="B181" s="22" t="s">
        <v>3</v>
      </c>
      <c r="C181" s="23"/>
      <c r="D181" s="24">
        <f>2+0</f>
        <v>2</v>
      </c>
      <c r="E181" s="23"/>
      <c r="F181" s="26">
        <f t="shared" si="18"/>
        <v>6</v>
      </c>
      <c r="G181" s="27"/>
      <c r="H181" s="24">
        <f>10+0</f>
        <v>10</v>
      </c>
      <c r="I181" s="29">
        <f t="shared" si="17"/>
        <v>0</v>
      </c>
    </row>
    <row r="182" spans="1:9" ht="14.45" customHeight="1" x14ac:dyDescent="0.25">
      <c r="A182" s="21" t="str">
        <f>CONCATENATE("Pants-dress","")</f>
        <v>Pants-dress</v>
      </c>
      <c r="B182" s="22" t="s">
        <v>3</v>
      </c>
      <c r="C182" s="23"/>
      <c r="D182" s="24">
        <f>2+0</f>
        <v>2</v>
      </c>
      <c r="E182" s="23"/>
      <c r="F182" s="26">
        <f t="shared" si="18"/>
        <v>6</v>
      </c>
      <c r="G182" s="27"/>
      <c r="H182" s="24">
        <f>10+0</f>
        <v>10</v>
      </c>
      <c r="I182" s="29">
        <f t="shared" si="17"/>
        <v>0</v>
      </c>
    </row>
    <row r="183" spans="1:9" ht="14.45" customHeight="1" x14ac:dyDescent="0.25">
      <c r="A183" s="21" t="str">
        <f>CONCATENATE("Robe","")</f>
        <v>Robe</v>
      </c>
      <c r="B183" s="22" t="s">
        <v>3</v>
      </c>
      <c r="C183" s="23"/>
      <c r="D183" s="24">
        <f>2+0</f>
        <v>2</v>
      </c>
      <c r="E183" s="23"/>
      <c r="F183" s="26">
        <f t="shared" si="18"/>
        <v>6</v>
      </c>
      <c r="G183" s="27"/>
      <c r="H183" s="24">
        <f>10+0</f>
        <v>10</v>
      </c>
      <c r="I183" s="29">
        <f t="shared" si="17"/>
        <v>0</v>
      </c>
    </row>
    <row r="184" spans="1:9" ht="14.45" customHeight="1" x14ac:dyDescent="0.25">
      <c r="A184" s="21" t="str">
        <f>CONCATENATE("Sandals/Slippers","")</f>
        <v>Sandals/Slippers</v>
      </c>
      <c r="B184" s="22" t="s">
        <v>3</v>
      </c>
      <c r="C184" s="23"/>
      <c r="D184" s="24">
        <f>4+0</f>
        <v>4</v>
      </c>
      <c r="E184" s="23"/>
      <c r="F184" s="26">
        <f t="shared" si="18"/>
        <v>6.5</v>
      </c>
      <c r="G184" s="27"/>
      <c r="H184" s="24">
        <f>9+0</f>
        <v>9</v>
      </c>
      <c r="I184" s="29">
        <f t="shared" si="17"/>
        <v>0</v>
      </c>
    </row>
    <row r="185" spans="1:9" ht="14.45" customHeight="1" x14ac:dyDescent="0.25">
      <c r="A185" s="21" t="str">
        <f>CONCATENATE("Shoes-tennis","")</f>
        <v>Shoes-tennis</v>
      </c>
      <c r="B185" s="22" t="s">
        <v>3</v>
      </c>
      <c r="C185" s="23"/>
      <c r="D185" s="24">
        <f>4+0</f>
        <v>4</v>
      </c>
      <c r="E185" s="23"/>
      <c r="F185" s="26">
        <f t="shared" si="18"/>
        <v>6.5</v>
      </c>
      <c r="G185" s="27"/>
      <c r="H185" s="24">
        <f>9+0</f>
        <v>9</v>
      </c>
      <c r="I185" s="29">
        <f t="shared" si="17"/>
        <v>0</v>
      </c>
    </row>
    <row r="186" spans="1:9" ht="14.45" customHeight="1" x14ac:dyDescent="0.25">
      <c r="A186" s="21" t="str">
        <f>CONCATENATE("Shorts","")</f>
        <v>Shorts</v>
      </c>
      <c r="B186" s="22" t="s">
        <v>3</v>
      </c>
      <c r="C186" s="23"/>
      <c r="D186" s="24">
        <f>1+0</f>
        <v>1</v>
      </c>
      <c r="E186" s="23"/>
      <c r="F186" s="26">
        <f t="shared" si="18"/>
        <v>5</v>
      </c>
      <c r="G186" s="27"/>
      <c r="H186" s="24">
        <f>9+0</f>
        <v>9</v>
      </c>
      <c r="I186" s="29">
        <f t="shared" si="17"/>
        <v>0</v>
      </c>
    </row>
    <row r="187" spans="1:9" ht="14.45" customHeight="1" x14ac:dyDescent="0.25">
      <c r="A187" s="21" t="str">
        <f>CONCATENATE("Skirts","")</f>
        <v>Skirts</v>
      </c>
      <c r="B187" s="22" t="s">
        <v>3</v>
      </c>
      <c r="C187" s="23"/>
      <c r="D187" s="24">
        <f>2+0</f>
        <v>2</v>
      </c>
      <c r="E187" s="23"/>
      <c r="F187" s="26">
        <f t="shared" si="18"/>
        <v>7</v>
      </c>
      <c r="G187" s="27"/>
      <c r="H187" s="24">
        <f>12+0</f>
        <v>12</v>
      </c>
      <c r="I187" s="29">
        <f t="shared" si="17"/>
        <v>0</v>
      </c>
    </row>
    <row r="188" spans="1:9" ht="14.45" customHeight="1" x14ac:dyDescent="0.25">
      <c r="A188" s="21" t="str">
        <f>CONCATENATE("Sportcoats","")</f>
        <v>Sportcoats</v>
      </c>
      <c r="B188" s="22" t="s">
        <v>3</v>
      </c>
      <c r="C188" s="23"/>
      <c r="D188" s="24">
        <f>6+0</f>
        <v>6</v>
      </c>
      <c r="E188" s="23"/>
      <c r="F188" s="26">
        <f t="shared" si="18"/>
        <v>9</v>
      </c>
      <c r="G188" s="27"/>
      <c r="H188" s="24">
        <f>12+0</f>
        <v>12</v>
      </c>
      <c r="I188" s="29">
        <f t="shared" si="17"/>
        <v>0</v>
      </c>
    </row>
    <row r="189" spans="1:9" ht="14.45" customHeight="1" x14ac:dyDescent="0.25">
      <c r="A189" s="21" t="str">
        <f>CONCATENATE("Suits-2 piece","")</f>
        <v>Suits-2 piece</v>
      </c>
      <c r="B189" s="22" t="s">
        <v>3</v>
      </c>
      <c r="C189" s="23"/>
      <c r="D189" s="24">
        <f>5+0</f>
        <v>5</v>
      </c>
      <c r="E189" s="23"/>
      <c r="F189" s="26">
        <f t="shared" si="18"/>
        <v>17.5</v>
      </c>
      <c r="G189" s="27"/>
      <c r="H189" s="24">
        <f>30+0</f>
        <v>30</v>
      </c>
      <c r="I189" s="29">
        <f t="shared" si="17"/>
        <v>0</v>
      </c>
    </row>
    <row r="190" spans="1:9" ht="14.45" customHeight="1" x14ac:dyDescent="0.25">
      <c r="A190" s="21" t="str">
        <f>CONCATENATE("Sweaters","")</f>
        <v>Sweaters</v>
      </c>
      <c r="B190" s="22" t="s">
        <v>3</v>
      </c>
      <c r="C190" s="23"/>
      <c r="D190" s="24">
        <f>5+0</f>
        <v>5</v>
      </c>
      <c r="E190" s="23"/>
      <c r="F190" s="26">
        <f t="shared" si="18"/>
        <v>10</v>
      </c>
      <c r="G190" s="27"/>
      <c r="H190" s="24">
        <f>15+0</f>
        <v>15</v>
      </c>
      <c r="I190" s="29">
        <f t="shared" si="17"/>
        <v>0</v>
      </c>
    </row>
    <row r="191" spans="1:9" ht="14.45" customHeight="1" x14ac:dyDescent="0.25">
      <c r="A191" s="21" t="str">
        <f>CONCATENATE("Sweats -bottom","")</f>
        <v>Sweats -bottom</v>
      </c>
      <c r="B191" s="22" t="s">
        <v>3</v>
      </c>
      <c r="C191" s="23"/>
      <c r="D191" s="24">
        <f>2+0</f>
        <v>2</v>
      </c>
      <c r="E191" s="23"/>
      <c r="F191" s="26">
        <f t="shared" si="18"/>
        <v>7</v>
      </c>
      <c r="G191" s="27"/>
      <c r="H191" s="24">
        <f>12+0</f>
        <v>12</v>
      </c>
      <c r="I191" s="29">
        <f t="shared" si="17"/>
        <v>0</v>
      </c>
    </row>
    <row r="192" spans="1:9" ht="14.45" customHeight="1" x14ac:dyDescent="0.25">
      <c r="A192" s="21" t="str">
        <f>CONCATENATE("Sweats-top","")</f>
        <v>Sweats-top</v>
      </c>
      <c r="B192" s="22" t="s">
        <v>3</v>
      </c>
      <c r="C192" s="23"/>
      <c r="D192" s="24">
        <f>2+0</f>
        <v>2</v>
      </c>
      <c r="E192" s="23"/>
      <c r="F192" s="26">
        <f t="shared" si="18"/>
        <v>7</v>
      </c>
      <c r="G192" s="27"/>
      <c r="H192" s="24">
        <f>12+0</f>
        <v>12</v>
      </c>
      <c r="I192" s="29">
        <f t="shared" si="17"/>
        <v>0</v>
      </c>
    </row>
    <row r="193" spans="1:10" ht="14.45" customHeight="1" x14ac:dyDescent="0.25">
      <c r="A193" s="21" t="str">
        <f>CONCATENATE("Swimwear","")</f>
        <v>Swimwear</v>
      </c>
      <c r="B193" s="22" t="s">
        <v>3</v>
      </c>
      <c r="C193" s="23"/>
      <c r="D193" s="24">
        <f>4+0</f>
        <v>4</v>
      </c>
      <c r="E193" s="23"/>
      <c r="F193" s="26">
        <f t="shared" si="18"/>
        <v>8</v>
      </c>
      <c r="G193" s="27"/>
      <c r="H193" s="24">
        <f>12+0</f>
        <v>12</v>
      </c>
      <c r="I193" s="29">
        <f t="shared" si="17"/>
        <v>0</v>
      </c>
      <c r="J193" s="40"/>
    </row>
    <row r="194" spans="1:10" ht="14.45" customHeight="1" x14ac:dyDescent="0.25">
      <c r="A194" s="21" t="str">
        <f>CONCATENATE("Tanks","")</f>
        <v>Tanks</v>
      </c>
      <c r="B194" s="22" t="s">
        <v>3</v>
      </c>
      <c r="C194" s="23"/>
      <c r="D194" s="24">
        <f>1+0</f>
        <v>1</v>
      </c>
      <c r="E194" s="23"/>
      <c r="F194" s="26">
        <f t="shared" si="18"/>
        <v>3.5</v>
      </c>
      <c r="G194" s="27"/>
      <c r="H194" s="24">
        <f>6+0</f>
        <v>6</v>
      </c>
      <c r="I194" s="29">
        <f t="shared" si="17"/>
        <v>0</v>
      </c>
    </row>
    <row r="195" spans="1:10" ht="14.45" customHeight="1" x14ac:dyDescent="0.25">
      <c r="A195" s="21" t="str">
        <f>CONCATENATE("T-Shirts","")</f>
        <v>T-Shirts</v>
      </c>
      <c r="B195" s="22" t="s">
        <v>3</v>
      </c>
      <c r="C195" s="23"/>
      <c r="D195" s="24">
        <f>1+0</f>
        <v>1</v>
      </c>
      <c r="E195" s="23"/>
      <c r="F195" s="26">
        <f t="shared" si="18"/>
        <v>3.5</v>
      </c>
      <c r="G195" s="27"/>
      <c r="H195" s="24">
        <f>6+0</f>
        <v>6</v>
      </c>
      <c r="I195" s="29">
        <f t="shared" si="17"/>
        <v>0</v>
      </c>
    </row>
    <row r="196" spans="1:10" ht="14.45" customHeight="1" x14ac:dyDescent="0.25">
      <c r="A196" s="21" t="str">
        <f>CONCATENATE("Vests","")</f>
        <v>Vests</v>
      </c>
      <c r="B196" s="22" t="s">
        <v>3</v>
      </c>
      <c r="C196" s="23"/>
      <c r="D196" s="24">
        <f>3+0</f>
        <v>3</v>
      </c>
      <c r="E196" s="23"/>
      <c r="F196" s="26">
        <f t="shared" si="18"/>
        <v>6</v>
      </c>
      <c r="G196" s="27"/>
      <c r="H196" s="24">
        <f>9+0</f>
        <v>9</v>
      </c>
      <c r="I196" s="29">
        <f t="shared" si="17"/>
        <v>0</v>
      </c>
    </row>
    <row r="197" spans="1:10" ht="14.45" customHeight="1" x14ac:dyDescent="0.25">
      <c r="A197" s="21" t="str">
        <f>CONCATENATE("Wallets","")</f>
        <v>Wallets</v>
      </c>
      <c r="B197" s="22" t="s">
        <v>3</v>
      </c>
      <c r="C197" s="23"/>
      <c r="D197" s="24">
        <f>2+0</f>
        <v>2</v>
      </c>
      <c r="E197" s="23"/>
      <c r="F197" s="17">
        <f t="shared" si="18"/>
        <v>4</v>
      </c>
      <c r="G197" s="27"/>
      <c r="H197" s="24">
        <f>6+0</f>
        <v>6</v>
      </c>
      <c r="I197" s="29">
        <f t="shared" si="17"/>
        <v>0</v>
      </c>
    </row>
    <row r="198" spans="1:10" ht="15" customHeight="1" x14ac:dyDescent="0.25"/>
    <row r="199" spans="1:10" ht="15" customHeight="1" x14ac:dyDescent="0.25">
      <c r="A199" s="67" t="str">
        <f>CONCATENATE("Other Items not available above(Enter you own quantity and Est Values)","")</f>
        <v>Other Items not available above(Enter you own quantity and Est Values)</v>
      </c>
      <c r="B199" s="67"/>
      <c r="C199" s="67"/>
      <c r="D199" s="67"/>
      <c r="E199" s="67"/>
      <c r="F199" s="67"/>
      <c r="G199" s="41" t="str">
        <f>$G$6</f>
        <v>Qty</v>
      </c>
      <c r="H199" s="42" t="str">
        <f>CONCATENATE("Value","")</f>
        <v>Value</v>
      </c>
      <c r="I199" s="42" t="s">
        <v>0</v>
      </c>
    </row>
    <row r="200" spans="1:10" ht="15" customHeight="1" x14ac:dyDescent="0.2">
      <c r="A200" s="68" t="s">
        <v>2</v>
      </c>
      <c r="B200" s="68"/>
      <c r="C200" s="68"/>
      <c r="D200" s="68"/>
      <c r="E200" s="68"/>
      <c r="F200" s="68"/>
      <c r="G200" s="43"/>
      <c r="H200" s="44"/>
      <c r="I200" s="45">
        <f t="shared" ref="I200:I208" si="19">G200*H200</f>
        <v>0</v>
      </c>
    </row>
    <row r="201" spans="1:10" ht="15" customHeight="1" x14ac:dyDescent="0.2">
      <c r="A201" s="65" t="s">
        <v>2</v>
      </c>
      <c r="B201" s="65"/>
      <c r="C201" s="65"/>
      <c r="D201" s="65"/>
      <c r="E201" s="65"/>
      <c r="F201" s="65"/>
      <c r="G201" s="46"/>
      <c r="H201" s="47"/>
      <c r="I201" s="48">
        <f t="shared" si="19"/>
        <v>0</v>
      </c>
    </row>
    <row r="202" spans="1:10" ht="15" customHeight="1" x14ac:dyDescent="0.2">
      <c r="A202" s="65" t="s">
        <v>2</v>
      </c>
      <c r="B202" s="65"/>
      <c r="C202" s="65"/>
      <c r="D202" s="65"/>
      <c r="E202" s="65"/>
      <c r="F202" s="65"/>
      <c r="G202" s="46"/>
      <c r="H202" s="47"/>
      <c r="I202" s="48">
        <f t="shared" si="19"/>
        <v>0</v>
      </c>
    </row>
    <row r="203" spans="1:10" ht="15" customHeight="1" x14ac:dyDescent="0.2">
      <c r="A203" s="65" t="s">
        <v>2</v>
      </c>
      <c r="B203" s="65"/>
      <c r="C203" s="65"/>
      <c r="D203" s="65"/>
      <c r="E203" s="65"/>
      <c r="F203" s="65"/>
      <c r="G203" s="46"/>
      <c r="H203" s="47"/>
      <c r="I203" s="48">
        <f t="shared" si="19"/>
        <v>0</v>
      </c>
    </row>
    <row r="204" spans="1:10" ht="15" customHeight="1" x14ac:dyDescent="0.2">
      <c r="A204" s="65" t="s">
        <v>2</v>
      </c>
      <c r="B204" s="65"/>
      <c r="C204" s="65"/>
      <c r="D204" s="65"/>
      <c r="E204" s="65"/>
      <c r="F204" s="65"/>
      <c r="G204" s="46"/>
      <c r="H204" s="47"/>
      <c r="I204" s="48">
        <f t="shared" si="19"/>
        <v>0</v>
      </c>
    </row>
    <row r="205" spans="1:10" ht="15" customHeight="1" x14ac:dyDescent="0.2">
      <c r="A205" s="65" t="s">
        <v>2</v>
      </c>
      <c r="B205" s="65"/>
      <c r="C205" s="65"/>
      <c r="D205" s="65"/>
      <c r="E205" s="65"/>
      <c r="F205" s="65"/>
      <c r="G205" s="46"/>
      <c r="H205" s="47"/>
      <c r="I205" s="48">
        <f t="shared" si="19"/>
        <v>0</v>
      </c>
    </row>
    <row r="206" spans="1:10" ht="15" customHeight="1" x14ac:dyDescent="0.2">
      <c r="A206" s="65" t="s">
        <v>2</v>
      </c>
      <c r="B206" s="65"/>
      <c r="C206" s="65"/>
      <c r="D206" s="65"/>
      <c r="E206" s="65"/>
      <c r="F206" s="65"/>
      <c r="G206" s="46"/>
      <c r="H206" s="47"/>
      <c r="I206" s="48">
        <f t="shared" si="19"/>
        <v>0</v>
      </c>
    </row>
    <row r="207" spans="1:10" ht="15" customHeight="1" x14ac:dyDescent="0.2">
      <c r="A207" s="65" t="s">
        <v>2</v>
      </c>
      <c r="B207" s="65"/>
      <c r="C207" s="65"/>
      <c r="D207" s="65"/>
      <c r="E207" s="65"/>
      <c r="F207" s="65"/>
      <c r="G207" s="46"/>
      <c r="H207" s="47"/>
      <c r="I207" s="48">
        <f t="shared" si="19"/>
        <v>0</v>
      </c>
    </row>
    <row r="208" spans="1:10" ht="15" customHeight="1" x14ac:dyDescent="0.2">
      <c r="A208" s="63" t="s">
        <v>2</v>
      </c>
      <c r="B208" s="63"/>
      <c r="C208" s="63"/>
      <c r="D208" s="63"/>
      <c r="E208" s="63"/>
      <c r="F208" s="63"/>
      <c r="G208" s="49"/>
      <c r="H208" s="50"/>
      <c r="I208" s="48">
        <f t="shared" si="19"/>
        <v>0</v>
      </c>
    </row>
    <row r="210" spans="1:9" ht="14.45" customHeight="1" x14ac:dyDescent="0.25">
      <c r="A210" s="51" t="str">
        <f>CONCATENATE("Summary of Items Donated","")</f>
        <v>Summary of Items Donated</v>
      </c>
      <c r="B210" s="52" t="str">
        <f>CONCATENATE("Total","")</f>
        <v>Total</v>
      </c>
      <c r="C210" s="53"/>
      <c r="D210" s="53"/>
      <c r="E210" s="53"/>
      <c r="F210" s="53"/>
      <c r="G210" s="53"/>
      <c r="H210" s="54" t="s">
        <v>2</v>
      </c>
      <c r="I210" s="55" t="s">
        <v>2</v>
      </c>
    </row>
    <row r="211" spans="1:9" ht="14.45" customHeight="1" x14ac:dyDescent="0.25">
      <c r="A211" s="21" t="str">
        <f>CONCATENATE("Applicances","")</f>
        <v>Applicances</v>
      </c>
      <c r="B211" s="56">
        <f>SUM(I7:I17)</f>
        <v>0</v>
      </c>
    </row>
    <row r="212" spans="1:9" ht="14.45" customHeight="1" x14ac:dyDescent="0.25">
      <c r="A212" s="21" t="str">
        <f>CONCATENATE("Childrens","")</f>
        <v>Childrens</v>
      </c>
      <c r="B212" s="56">
        <f>SUM(I20:I44)</f>
        <v>0</v>
      </c>
    </row>
    <row r="213" spans="1:9" ht="14.45" customHeight="1" x14ac:dyDescent="0.25">
      <c r="A213" s="21" t="str">
        <f>CONCATENATE("Furniture","")</f>
        <v>Furniture</v>
      </c>
      <c r="B213" s="56">
        <f>SUM(I48:I78)</f>
        <v>0</v>
      </c>
    </row>
    <row r="214" spans="1:9" ht="14.45" customHeight="1" x14ac:dyDescent="0.25">
      <c r="A214" s="21" t="str">
        <f>CONCATENATE("Household","")</f>
        <v>Household</v>
      </c>
      <c r="B214" s="56">
        <f>SUM(I81:I102)</f>
        <v>0</v>
      </c>
    </row>
    <row r="215" spans="1:9" ht="14.45" customHeight="1" x14ac:dyDescent="0.25">
      <c r="A215" s="21" t="str">
        <f>CONCATENATE("Mens","")</f>
        <v>Mens</v>
      </c>
      <c r="B215" s="56">
        <f>SUM(I105:I130)</f>
        <v>0</v>
      </c>
    </row>
    <row r="216" spans="1:9" ht="14.45" customHeight="1" x14ac:dyDescent="0.25">
      <c r="A216" s="21" t="str">
        <f>CONCATENATE("Miscellaneous","")</f>
        <v>Miscellaneous</v>
      </c>
      <c r="B216" s="56">
        <f>SUM(I133:I154)</f>
        <v>0</v>
      </c>
    </row>
    <row r="217" spans="1:9" ht="14.45" customHeight="1" x14ac:dyDescent="0.25">
      <c r="A217" s="21" t="str">
        <f>CONCATENATE("Sports","")</f>
        <v>Sports</v>
      </c>
      <c r="B217" s="56">
        <f>SUM(I157:I165)</f>
        <v>0</v>
      </c>
    </row>
    <row r="218" spans="1:9" ht="14.45" customHeight="1" x14ac:dyDescent="0.25">
      <c r="A218" s="21" t="str">
        <f>CONCATENATE("Womens","")</f>
        <v>Womens</v>
      </c>
      <c r="B218" s="56">
        <f>SUM(I168:I197)</f>
        <v>0</v>
      </c>
    </row>
    <row r="219" spans="1:9" ht="15" customHeight="1" x14ac:dyDescent="0.25">
      <c r="A219" s="57" t="str">
        <f>CONCATENATE("Other","")</f>
        <v>Other</v>
      </c>
      <c r="B219" s="58">
        <f>SUM(I200:I208)</f>
        <v>0</v>
      </c>
    </row>
    <row r="220" spans="1:9" ht="16.899999999999999" customHeight="1" x14ac:dyDescent="0.25">
      <c r="A220" s="59" t="str">
        <f>CONCATENATE("Grand Total","")</f>
        <v>Grand Total</v>
      </c>
      <c r="B220" s="60">
        <f>SUM(B211:B219)</f>
        <v>0</v>
      </c>
      <c r="D220" s="64" t="str">
        <f>CONCATENATE("Estimated Cost of All Items","")</f>
        <v>Estimated Cost of All Items</v>
      </c>
      <c r="E220" s="64"/>
      <c r="F220" s="64"/>
      <c r="G220" s="64"/>
      <c r="H220" s="64"/>
      <c r="I220" s="61">
        <v>0</v>
      </c>
    </row>
    <row r="221" spans="1:9" ht="15" customHeight="1" x14ac:dyDescent="0.25"/>
  </sheetData>
  <mergeCells count="17">
    <mergeCell ref="A1:I1"/>
    <mergeCell ref="B2:F2"/>
    <mergeCell ref="G2:H2"/>
    <mergeCell ref="B3:F3"/>
    <mergeCell ref="G3:H3"/>
    <mergeCell ref="B4:I4"/>
    <mergeCell ref="A199:F199"/>
    <mergeCell ref="A200:F200"/>
    <mergeCell ref="A201:F201"/>
    <mergeCell ref="A202:F202"/>
    <mergeCell ref="A208:F208"/>
    <mergeCell ref="D220:H220"/>
    <mergeCell ref="A203:F203"/>
    <mergeCell ref="A204:F204"/>
    <mergeCell ref="A205:F205"/>
    <mergeCell ref="A206:F206"/>
    <mergeCell ref="A207:F207"/>
  </mergeCells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5" customHeight="1" x14ac:dyDescent="0.2"/>
  <sheetData/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5" customHeight="1" x14ac:dyDescent="0.2"/>
  <sheetData/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194074560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Copy1</vt:lpstr>
      <vt:lpstr>Copy2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donatecalc3</dc:title>
  <dc:subject/>
  <dc:creator>Reed Accounting</dc:creator>
  <cp:keywords/>
  <dc:description/>
  <cp:lastModifiedBy>Reed Accounting</cp:lastModifiedBy>
  <cp:revision>1</cp:revision>
  <dcterms:created xsi:type="dcterms:W3CDTF">2008-01-25T17:43:47Z</dcterms:created>
  <dcterms:modified xsi:type="dcterms:W3CDTF">2015-03-15T19:47:10Z</dcterms:modified>
  <cp:category/>
</cp:coreProperties>
</file>